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бщая\ОТЧЕТ ФУ за неделю\2023\02\17\"/>
    </mc:Choice>
  </mc:AlternateContent>
  <bookViews>
    <workbookView xWindow="-120" yWindow="-120" windowWidth="19440" windowHeight="15000"/>
  </bookViews>
  <sheets>
    <sheet name="План доходов " sheetId="1" r:id="rId1"/>
  </sheets>
  <definedNames>
    <definedName name="_xlnm._FilterDatabase" localSheetId="0" hidden="1">'План доходов '!$A$6:$AT$57</definedName>
    <definedName name="Z_117A7AA9_056F_4018_98AD_EAECFC43F1B3_.wvu.Cols" localSheetId="0" hidden="1">'План доходов '!$B:$H,'План доходов '!$J:$T,'План доходов '!$AA:$AA,'План доходов '!$AC:$AC,'План доходов '!$AE:$AG,'План доходов '!$AJ:$AM,'План доходов '!$AP:$AR</definedName>
    <definedName name="Z_117A7AA9_056F_4018_98AD_EAECFC43F1B3_.wvu.FilterData" localSheetId="0" hidden="1">'План доходов '!$A$6:$AT$57</definedName>
    <definedName name="Z_117A7AA9_056F_4018_98AD_EAECFC43F1B3_.wvu.PrintArea" localSheetId="0" hidden="1">'План доходов '!$A$1:$AO$60</definedName>
    <definedName name="Z_117A7AA9_056F_4018_98AD_EAECFC43F1B3_.wvu.PrintTitles" localSheetId="0" hidden="1">'План доходов '!$4:$6</definedName>
    <definedName name="Z_117A7AA9_056F_4018_98AD_EAECFC43F1B3_.wvu.Rows" localSheetId="0" hidden="1">'План доходов '!$62:$63</definedName>
    <definedName name="Z_4CBCD9D8_B3F5_4722_8CE7_38B89561B806_.wvu.Cols" localSheetId="0" hidden="1">'План доходов '!$B:$H,'План доходов '!$J:$O,'План доходов '!$AC:$AC,'План доходов '!$AJ:$AK,'План доходов '!$AP:$AR</definedName>
    <definedName name="Z_4CBCD9D8_B3F5_4722_8CE7_38B89561B806_.wvu.PrintArea" localSheetId="0" hidden="1">'План доходов '!$A$1:$AR$60</definedName>
    <definedName name="Z_4CBCD9D8_B3F5_4722_8CE7_38B89561B806_.wvu.PrintTitles" localSheetId="0" hidden="1">'План доходов '!$4:$6</definedName>
    <definedName name="Z_4CBCD9D8_B3F5_4722_8CE7_38B89561B806_.wvu.Rows" localSheetId="0" hidden="1">'План доходов '!$62:$63</definedName>
    <definedName name="Z_7DC50C37_F81E_464D_BE66_31375C660B0F_.wvu.Cols" localSheetId="0" hidden="1">'План доходов '!$B:$H,'План доходов '!$J:$L,'План доходов '!$N:$N,'План доходов '!$Q:$Q,'План доходов '!$AC:$AC,'План доходов '!$AJ:$AK,'План доходов '!$AR:$AR</definedName>
    <definedName name="Z_7DC50C37_F81E_464D_BE66_31375C660B0F_.wvu.PrintArea" localSheetId="0" hidden="1">'План доходов '!$A$1:$AR$60</definedName>
    <definedName name="Z_7DC50C37_F81E_464D_BE66_31375C660B0F_.wvu.PrintTitles" localSheetId="0" hidden="1">'План доходов '!$4:$6</definedName>
    <definedName name="Z_7DC50C37_F81E_464D_BE66_31375C660B0F_.wvu.Rows" localSheetId="0" hidden="1">'План доходов '!$62:$63</definedName>
    <definedName name="Z_EFA3296C_EA11_4228_A03B_6841E5AF5251_.wvu.Cols" localSheetId="0" hidden="1">'План доходов '!$B:$H,'План доходов '!$J:$T,'План доходов '!$V:$V,'План доходов '!$X:$X,'План доходов '!$AC:$AC,'План доходов '!$AF:$AG,'План доходов '!$AJ:$AM,'План доходов '!$AP:$AR</definedName>
    <definedName name="Z_EFA3296C_EA11_4228_A03B_6841E5AF5251_.wvu.FilterData" localSheetId="0" hidden="1">'План доходов '!$A$6:$AT$57</definedName>
    <definedName name="Z_EFA3296C_EA11_4228_A03B_6841E5AF5251_.wvu.PrintArea" localSheetId="0" hidden="1">'План доходов '!$A$1:$AP$60</definedName>
    <definedName name="Z_EFA3296C_EA11_4228_A03B_6841E5AF5251_.wvu.PrintTitles" localSheetId="0" hidden="1">'План доходов '!$4:$6</definedName>
    <definedName name="Z_EFA3296C_EA11_4228_A03B_6841E5AF5251_.wvu.Rows" localSheetId="0" hidden="1">'План доходов '!$62:$63</definedName>
    <definedName name="_xlnm.Print_Titles" localSheetId="0">'План доходов '!$4:$6</definedName>
    <definedName name="_xlnm.Print_Area" localSheetId="0">'План доходов '!$A$1:$AP$60</definedName>
  </definedNames>
  <calcPr calcId="191029"/>
  <customWorkbookViews>
    <customWorkbookView name="BLPUSP2 - Личное представление" guid="{EFA3296C-EA11-4228-A03B-6841E5AF5251}" mergeInterval="0" personalView="1" maximized="1" xWindow="-8" yWindow="-8" windowWidth="1296" windowHeight="1000" activeSheetId="1"/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8" i="1" l="1"/>
  <c r="AA46" i="1"/>
  <c r="AA45" i="1"/>
  <c r="AA40" i="1"/>
  <c r="AA33" i="1"/>
  <c r="AA32" i="1"/>
  <c r="AA29" i="1"/>
  <c r="AA27" i="1"/>
  <c r="AA25" i="1"/>
  <c r="AA22" i="1"/>
  <c r="AA16" i="1"/>
  <c r="V26" i="1"/>
  <c r="V46" i="1"/>
  <c r="V24" i="1"/>
  <c r="V18" i="1"/>
  <c r="V17" i="1"/>
  <c r="AC57" i="1"/>
  <c r="AE36" i="1"/>
  <c r="AE37" i="1"/>
  <c r="Z29" i="1"/>
  <c r="Z48" i="1"/>
  <c r="Z45" i="1"/>
  <c r="Z40" i="1"/>
  <c r="Z33" i="1"/>
  <c r="Z27" i="1"/>
  <c r="Z25" i="1"/>
  <c r="Z22" i="1"/>
  <c r="Z16" i="1"/>
  <c r="AL36" i="1"/>
  <c r="AL37" i="1"/>
  <c r="AM36" i="1"/>
  <c r="AA21" i="1" l="1"/>
  <c r="AA7" i="1" s="1"/>
  <c r="AA8" i="1" s="1"/>
  <c r="Z32" i="1"/>
  <c r="Z21" i="1"/>
  <c r="AA57" i="1" l="1"/>
  <c r="Z7" i="1"/>
  <c r="Z57" i="1" l="1"/>
  <c r="Z8" i="1"/>
  <c r="V45" i="1" l="1"/>
  <c r="W44" i="1"/>
  <c r="W24" i="1"/>
  <c r="W18" i="1"/>
  <c r="W17" i="1"/>
  <c r="AI36" i="1"/>
  <c r="AI37" i="1"/>
  <c r="AG36" i="1"/>
  <c r="AG37" i="1"/>
  <c r="AF36" i="1"/>
  <c r="AF37" i="1"/>
  <c r="U9" i="1"/>
  <c r="X48" i="1"/>
  <c r="X45" i="1"/>
  <c r="X40" i="1"/>
  <c r="X33" i="1"/>
  <c r="X32" i="1" s="1"/>
  <c r="X29" i="1"/>
  <c r="X27" i="1"/>
  <c r="X25" i="1"/>
  <c r="X22" i="1"/>
  <c r="X16" i="1"/>
  <c r="AN37" i="1"/>
  <c r="AH37" i="1"/>
  <c r="AN36" i="1"/>
  <c r="AH36" i="1"/>
  <c r="AB33" i="1"/>
  <c r="Y33" i="1"/>
  <c r="Y32" i="1" s="1"/>
  <c r="AD56" i="1"/>
  <c r="AL56" i="1" s="1"/>
  <c r="AD55" i="1"/>
  <c r="AL55" i="1" s="1"/>
  <c r="AD54" i="1"/>
  <c r="AD53" i="1"/>
  <c r="AL53" i="1" s="1"/>
  <c r="AD52" i="1"/>
  <c r="AD51" i="1"/>
  <c r="AD50" i="1"/>
  <c r="AD49" i="1"/>
  <c r="AD47" i="1"/>
  <c r="AD46" i="1"/>
  <c r="AL46" i="1" s="1"/>
  <c r="AD44" i="1"/>
  <c r="AD43" i="1"/>
  <c r="AD42" i="1"/>
  <c r="AL42" i="1" s="1"/>
  <c r="AD41" i="1"/>
  <c r="AD39" i="1"/>
  <c r="AL39" i="1" s="1"/>
  <c r="AD38" i="1"/>
  <c r="AL38" i="1" s="1"/>
  <c r="AD35" i="1"/>
  <c r="AD34" i="1"/>
  <c r="AD31" i="1"/>
  <c r="AD30" i="1"/>
  <c r="AL30" i="1" s="1"/>
  <c r="AD28" i="1"/>
  <c r="AL28" i="1" s="1"/>
  <c r="AD26" i="1"/>
  <c r="AD24" i="1"/>
  <c r="AD23" i="1"/>
  <c r="AD20" i="1"/>
  <c r="AL20" i="1" s="1"/>
  <c r="AD19" i="1"/>
  <c r="AD18" i="1"/>
  <c r="AD17" i="1"/>
  <c r="AD15" i="1"/>
  <c r="AD14" i="1"/>
  <c r="AD13" i="1"/>
  <c r="AD12" i="1"/>
  <c r="AD11" i="1"/>
  <c r="AD10" i="1"/>
  <c r="AD9" i="1"/>
  <c r="W23" i="1"/>
  <c r="V29" i="1"/>
  <c r="W9" i="1"/>
  <c r="W56" i="1"/>
  <c r="W55" i="1"/>
  <c r="W53" i="1"/>
  <c r="W52" i="1"/>
  <c r="W50" i="1"/>
  <c r="W49" i="1"/>
  <c r="W47" i="1"/>
  <c r="W46" i="1"/>
  <c r="W43" i="1"/>
  <c r="W42" i="1"/>
  <c r="W41" i="1"/>
  <c r="W39" i="1"/>
  <c r="W38" i="1"/>
  <c r="W35" i="1"/>
  <c r="W34" i="1"/>
  <c r="W31" i="1"/>
  <c r="W30" i="1"/>
  <c r="W29" i="1" s="1"/>
  <c r="W28" i="1"/>
  <c r="W27" i="1" s="1"/>
  <c r="W26" i="1"/>
  <c r="W25" i="1" s="1"/>
  <c r="W20" i="1"/>
  <c r="W19" i="1"/>
  <c r="W15" i="1"/>
  <c r="W14" i="1"/>
  <c r="W13" i="1"/>
  <c r="W12" i="1"/>
  <c r="W11" i="1"/>
  <c r="W10" i="1"/>
  <c r="W51" i="1"/>
  <c r="V48" i="1"/>
  <c r="V40" i="1"/>
  <c r="V33" i="1"/>
  <c r="V32" i="1" s="1"/>
  <c r="V27" i="1"/>
  <c r="V25" i="1"/>
  <c r="U26" i="1"/>
  <c r="U25" i="1" s="1"/>
  <c r="T25" i="1"/>
  <c r="T22" i="1"/>
  <c r="U22" i="1"/>
  <c r="R22" i="1"/>
  <c r="U11" i="1"/>
  <c r="R17" i="1"/>
  <c r="U20" i="1"/>
  <c r="R13" i="1"/>
  <c r="R11" i="1"/>
  <c r="R10" i="1"/>
  <c r="U56" i="1"/>
  <c r="U55" i="1"/>
  <c r="U53" i="1"/>
  <c r="U52" i="1"/>
  <c r="U51" i="1"/>
  <c r="U50" i="1"/>
  <c r="U49" i="1"/>
  <c r="U47" i="1"/>
  <c r="U46" i="1"/>
  <c r="U44" i="1"/>
  <c r="U43" i="1"/>
  <c r="U42" i="1"/>
  <c r="U41" i="1"/>
  <c r="U39" i="1"/>
  <c r="U38" i="1"/>
  <c r="U35" i="1"/>
  <c r="U34" i="1"/>
  <c r="U31" i="1"/>
  <c r="U30" i="1"/>
  <c r="U29" i="1" s="1"/>
  <c r="U28" i="1"/>
  <c r="U27" i="1" s="1"/>
  <c r="U19" i="1"/>
  <c r="U18" i="1"/>
  <c r="U17" i="1"/>
  <c r="U15" i="1"/>
  <c r="U14" i="1"/>
  <c r="U13" i="1"/>
  <c r="U12" i="1"/>
  <c r="R12" i="1" s="1"/>
  <c r="T48" i="1"/>
  <c r="T45" i="1"/>
  <c r="T40" i="1"/>
  <c r="T33" i="1"/>
  <c r="T32" i="1" s="1"/>
  <c r="T29" i="1"/>
  <c r="T27" i="1"/>
  <c r="T16" i="1"/>
  <c r="T10" i="1"/>
  <c r="U10" i="1" s="1"/>
  <c r="S51" i="1"/>
  <c r="S48" i="1" s="1"/>
  <c r="S45" i="1"/>
  <c r="S40" i="1"/>
  <c r="S33" i="1"/>
  <c r="S32" i="1" s="1"/>
  <c r="S29" i="1"/>
  <c r="S27" i="1"/>
  <c r="S25" i="1"/>
  <c r="S22" i="1"/>
  <c r="S16" i="1"/>
  <c r="Y16" i="1"/>
  <c r="Y22" i="1"/>
  <c r="Y25" i="1"/>
  <c r="Y27" i="1"/>
  <c r="Y29" i="1"/>
  <c r="Y40" i="1"/>
  <c r="Y45" i="1"/>
  <c r="Y48" i="1"/>
  <c r="P52" i="1"/>
  <c r="AN55" i="1" l="1"/>
  <c r="AN10" i="1"/>
  <c r="AI18" i="1"/>
  <c r="AM18" i="1"/>
  <c r="AL18" i="1"/>
  <c r="AM31" i="1"/>
  <c r="AL31" i="1"/>
  <c r="AM44" i="1"/>
  <c r="AL44" i="1"/>
  <c r="AN54" i="1"/>
  <c r="AL54" i="1"/>
  <c r="AI10" i="1"/>
  <c r="AM10" i="1"/>
  <c r="AL10" i="1"/>
  <c r="AM19" i="1"/>
  <c r="AL19" i="1"/>
  <c r="AI34" i="1"/>
  <c r="AM34" i="1"/>
  <c r="AL34" i="1"/>
  <c r="AM9" i="1"/>
  <c r="AL9" i="1"/>
  <c r="AI35" i="1"/>
  <c r="AL35" i="1"/>
  <c r="AM35" i="1"/>
  <c r="AG23" i="1"/>
  <c r="AL23" i="1"/>
  <c r="AI49" i="1"/>
  <c r="AL49" i="1"/>
  <c r="AM49" i="1"/>
  <c r="AG12" i="1"/>
  <c r="AL12" i="1"/>
  <c r="AI13" i="1"/>
  <c r="AL13" i="1"/>
  <c r="AM13" i="1"/>
  <c r="AI24" i="1"/>
  <c r="AL24" i="1"/>
  <c r="AM24" i="1"/>
  <c r="AG50" i="1"/>
  <c r="AL50" i="1"/>
  <c r="AM50" i="1"/>
  <c r="AG47" i="1"/>
  <c r="AL47" i="1"/>
  <c r="AI14" i="1"/>
  <c r="AL14" i="1"/>
  <c r="AM14" i="1"/>
  <c r="AG26" i="1"/>
  <c r="AL26" i="1"/>
  <c r="AG41" i="1"/>
  <c r="AL41" i="1"/>
  <c r="AG51" i="1"/>
  <c r="AL51" i="1"/>
  <c r="AM51" i="1"/>
  <c r="AI17" i="1"/>
  <c r="AM17" i="1"/>
  <c r="AL17" i="1"/>
  <c r="AM11" i="1"/>
  <c r="AL11" i="1"/>
  <c r="AI15" i="1"/>
  <c r="AM15" i="1"/>
  <c r="AL15" i="1"/>
  <c r="AI52" i="1"/>
  <c r="AL52" i="1"/>
  <c r="AM52" i="1"/>
  <c r="AM43" i="1"/>
  <c r="AL43" i="1"/>
  <c r="V22" i="1"/>
  <c r="V21" i="1" s="1"/>
  <c r="V16" i="1"/>
  <c r="AO11" i="1"/>
  <c r="AO9" i="1"/>
  <c r="AN13" i="1"/>
  <c r="AO39" i="1"/>
  <c r="AG10" i="1"/>
  <c r="AG24" i="1"/>
  <c r="AO30" i="1"/>
  <c r="AI9" i="1"/>
  <c r="AO31" i="1"/>
  <c r="AO44" i="1"/>
  <c r="AI26" i="1"/>
  <c r="AO43" i="1"/>
  <c r="AO19" i="1"/>
  <c r="AO46" i="1"/>
  <c r="AG9" i="1"/>
  <c r="AG18" i="1"/>
  <c r="AG49" i="1"/>
  <c r="AI11" i="1"/>
  <c r="AI19" i="1"/>
  <c r="AI30" i="1"/>
  <c r="AI50" i="1"/>
  <c r="AO12" i="1"/>
  <c r="AO34" i="1"/>
  <c r="AG14" i="1"/>
  <c r="AG17" i="1"/>
  <c r="AG52" i="1"/>
  <c r="AI12" i="1"/>
  <c r="AI31" i="1"/>
  <c r="AI41" i="1"/>
  <c r="AI51" i="1"/>
  <c r="AO13" i="1"/>
  <c r="AO35" i="1"/>
  <c r="AG13" i="1"/>
  <c r="AI43" i="1"/>
  <c r="AO14" i="1"/>
  <c r="AO24" i="1"/>
  <c r="AG15" i="1"/>
  <c r="AG43" i="1"/>
  <c r="AI23" i="1"/>
  <c r="AI44" i="1"/>
  <c r="AO15" i="1"/>
  <c r="AG11" i="1"/>
  <c r="AG44" i="1"/>
  <c r="AI47" i="1"/>
  <c r="AO17" i="1"/>
  <c r="AO18" i="1"/>
  <c r="AG19" i="1"/>
  <c r="AN44" i="1"/>
  <c r="AN51" i="1"/>
  <c r="AN35" i="1"/>
  <c r="U45" i="1"/>
  <c r="AN42" i="1"/>
  <c r="X21" i="1"/>
  <c r="X7" i="1" s="1"/>
  <c r="X8" i="1" s="1"/>
  <c r="AN9" i="1"/>
  <c r="U16" i="1"/>
  <c r="AN11" i="1"/>
  <c r="AN20" i="1"/>
  <c r="AN38" i="1"/>
  <c r="AN56" i="1"/>
  <c r="W33" i="1"/>
  <c r="W32" i="1" s="1"/>
  <c r="AN39" i="1"/>
  <c r="AN50" i="1"/>
  <c r="U48" i="1"/>
  <c r="W22" i="1"/>
  <c r="W21" i="1" s="1"/>
  <c r="U40" i="1"/>
  <c r="AN19" i="1"/>
  <c r="AN52" i="1"/>
  <c r="AN43" i="1"/>
  <c r="AN28" i="1"/>
  <c r="T21" i="1"/>
  <c r="T7" i="1" s="1"/>
  <c r="T8" i="1" s="1"/>
  <c r="AN18" i="1"/>
  <c r="AN12" i="1"/>
  <c r="AN49" i="1"/>
  <c r="AN23" i="1"/>
  <c r="AN24" i="1"/>
  <c r="AN53" i="1"/>
  <c r="AN47" i="1"/>
  <c r="W45" i="1"/>
  <c r="AN46" i="1"/>
  <c r="W40" i="1"/>
  <c r="AN41" i="1"/>
  <c r="AN34" i="1"/>
  <c r="AN31" i="1"/>
  <c r="AN30" i="1"/>
  <c r="AN26" i="1"/>
  <c r="W16" i="1"/>
  <c r="AN17" i="1"/>
  <c r="AN15" i="1"/>
  <c r="AN14" i="1"/>
  <c r="S21" i="1"/>
  <c r="U33" i="1"/>
  <c r="U32" i="1" s="1"/>
  <c r="W48" i="1"/>
  <c r="U21" i="1"/>
  <c r="Y21" i="1"/>
  <c r="Y7" i="1" s="1"/>
  <c r="V7" i="1" l="1"/>
  <c r="V8" i="1" s="1"/>
  <c r="U7" i="1"/>
  <c r="U8" i="1" s="1"/>
  <c r="W7" i="1"/>
  <c r="W8" i="1" s="1"/>
  <c r="T57" i="1"/>
  <c r="S7" i="1"/>
  <c r="S8" i="1" s="1"/>
  <c r="X57" i="1"/>
  <c r="Y8" i="1"/>
  <c r="Y57" i="1"/>
  <c r="AF56" i="1"/>
  <c r="AF55" i="1"/>
  <c r="AF54" i="1"/>
  <c r="AF53" i="1"/>
  <c r="AF46" i="1"/>
  <c r="AF41" i="1"/>
  <c r="AF39" i="1"/>
  <c r="AF38" i="1"/>
  <c r="AF30" i="1"/>
  <c r="AF20" i="1"/>
  <c r="V57" i="1" l="1"/>
  <c r="S57" i="1"/>
  <c r="U57" i="1"/>
  <c r="W57" i="1"/>
  <c r="AF42" i="1"/>
  <c r="AF18" i="1"/>
  <c r="AF43" i="1"/>
  <c r="AF28" i="1"/>
  <c r="AF52" i="1"/>
  <c r="AF10" i="1"/>
  <c r="AF19" i="1"/>
  <c r="AF31" i="1"/>
  <c r="AF44" i="1"/>
  <c r="AF11" i="1"/>
  <c r="AF17" i="1"/>
  <c r="AF34" i="1"/>
  <c r="AG34" i="1"/>
  <c r="AG35" i="1"/>
  <c r="AF35" i="1"/>
  <c r="AF47" i="1"/>
  <c r="AF15" i="1"/>
  <c r="AF12" i="1"/>
  <c r="AF13" i="1"/>
  <c r="AF24" i="1"/>
  <c r="AF49" i="1"/>
  <c r="AF9" i="1"/>
  <c r="AF23" i="1"/>
  <c r="AF14" i="1"/>
  <c r="AF26" i="1"/>
  <c r="AF50" i="1"/>
  <c r="AF51" i="1"/>
  <c r="P9" i="1" l="1"/>
  <c r="R9" i="1"/>
  <c r="P38" i="1"/>
  <c r="P35" i="1"/>
  <c r="P34" i="1"/>
  <c r="AB25" i="1"/>
  <c r="AD25" i="1" s="1"/>
  <c r="AL25" i="1" s="1"/>
  <c r="AB22" i="1"/>
  <c r="AD22" i="1" s="1"/>
  <c r="AH26" i="1"/>
  <c r="AE26" i="1"/>
  <c r="AE24" i="1"/>
  <c r="AE23" i="1"/>
  <c r="AK25" i="1"/>
  <c r="AK22" i="1"/>
  <c r="R26" i="1"/>
  <c r="R24" i="1"/>
  <c r="R23" i="1"/>
  <c r="P25" i="1"/>
  <c r="P22" i="1"/>
  <c r="AL22" i="1" l="1"/>
  <c r="AM22" i="1"/>
  <c r="AI25" i="1"/>
  <c r="AG25" i="1"/>
  <c r="AI22" i="1"/>
  <c r="AO22" i="1"/>
  <c r="AG22" i="1"/>
  <c r="AN25" i="1"/>
  <c r="AF25" i="1"/>
  <c r="AN22" i="1"/>
  <c r="AF22" i="1"/>
  <c r="AH24" i="1"/>
  <c r="AE22" i="1"/>
  <c r="AH23" i="1"/>
  <c r="AH22" i="1" l="1"/>
  <c r="AJ25" i="1"/>
  <c r="AH25" i="1"/>
  <c r="AJ22" i="1"/>
  <c r="AE54" i="1" l="1"/>
  <c r="AH54" i="1"/>
  <c r="AK54" i="1"/>
  <c r="AB48" i="1"/>
  <c r="AD48" i="1" s="1"/>
  <c r="AM48" i="1" l="1"/>
  <c r="AL48" i="1"/>
  <c r="AG48" i="1"/>
  <c r="AI48" i="1"/>
  <c r="AN48" i="1"/>
  <c r="AF48" i="1"/>
  <c r="AJ54" i="1"/>
  <c r="K9" i="1"/>
  <c r="M9" i="1"/>
  <c r="K10" i="1"/>
  <c r="M10" i="1"/>
  <c r="P10" i="1"/>
  <c r="K11" i="1"/>
  <c r="M11" i="1"/>
  <c r="P11" i="1"/>
  <c r="K12" i="1"/>
  <c r="M12" i="1"/>
  <c r="P12" i="1"/>
  <c r="K13" i="1"/>
  <c r="M13" i="1"/>
  <c r="P13" i="1"/>
  <c r="K14" i="1"/>
  <c r="M14" i="1"/>
  <c r="P14" i="1"/>
  <c r="K15" i="1"/>
  <c r="M15" i="1"/>
  <c r="P15" i="1"/>
  <c r="R38" i="1" l="1"/>
  <c r="R35" i="1"/>
  <c r="R34" i="1"/>
  <c r="R33" i="1" l="1"/>
  <c r="AE38" i="1"/>
  <c r="AE35" i="1"/>
  <c r="AE34" i="1"/>
  <c r="AH38" i="1"/>
  <c r="AD33" i="1"/>
  <c r="P33" i="1"/>
  <c r="AM33" i="1" l="1"/>
  <c r="AL33" i="1"/>
  <c r="AO33" i="1"/>
  <c r="AI33" i="1"/>
  <c r="AN33" i="1"/>
  <c r="AF33" i="1"/>
  <c r="AH34" i="1"/>
  <c r="AH35" i="1"/>
  <c r="AH33" i="1" l="1"/>
  <c r="AB29" i="1"/>
  <c r="AD29" i="1" s="1"/>
  <c r="AL29" i="1" s="1"/>
  <c r="AI29" i="1" l="1"/>
  <c r="AO29" i="1"/>
  <c r="AN29" i="1"/>
  <c r="AF29" i="1"/>
  <c r="R44" i="1"/>
  <c r="R15" i="1" l="1"/>
  <c r="R18" i="1"/>
  <c r="R19" i="1"/>
  <c r="R25" i="1"/>
  <c r="R30" i="1"/>
  <c r="R39" i="1"/>
  <c r="R42" i="1"/>
  <c r="R43" i="1"/>
  <c r="R47" i="1"/>
  <c r="R46" i="1"/>
  <c r="R50" i="1"/>
  <c r="R51" i="1"/>
  <c r="R14" i="1"/>
  <c r="R32" i="1" l="1"/>
  <c r="AH20" i="1" l="1"/>
  <c r="L45" i="1" l="1"/>
  <c r="AH51" i="1" l="1"/>
  <c r="AK57" i="1" l="1"/>
  <c r="AR56" i="1"/>
  <c r="AK56" i="1"/>
  <c r="AJ56" i="1"/>
  <c r="AH56" i="1"/>
  <c r="AE56" i="1"/>
  <c r="R56" i="1"/>
  <c r="P56" i="1"/>
  <c r="M56" i="1"/>
  <c r="AP56" i="1" s="1"/>
  <c r="K56" i="1"/>
  <c r="AR55" i="1"/>
  <c r="AK55" i="1"/>
  <c r="AJ55" i="1"/>
  <c r="AH55" i="1"/>
  <c r="AE55" i="1"/>
  <c r="R55" i="1"/>
  <c r="P55" i="1"/>
  <c r="M55" i="1"/>
  <c r="AP55" i="1" s="1"/>
  <c r="K55" i="1"/>
  <c r="AR53" i="1"/>
  <c r="AQ53" i="1"/>
  <c r="AP53" i="1"/>
  <c r="AK53" i="1"/>
  <c r="AJ53" i="1"/>
  <c r="AH53" i="1"/>
  <c r="AE53" i="1"/>
  <c r="R53" i="1"/>
  <c r="P53" i="1"/>
  <c r="K53" i="1"/>
  <c r="AR52" i="1"/>
  <c r="AK52" i="1"/>
  <c r="AJ52" i="1"/>
  <c r="AH52" i="1"/>
  <c r="AE52" i="1"/>
  <c r="R52" i="1"/>
  <c r="M52" i="1"/>
  <c r="AP52" i="1" s="1"/>
  <c r="K52" i="1"/>
  <c r="AR51" i="1"/>
  <c r="AK51" i="1"/>
  <c r="AJ51" i="1"/>
  <c r="AE51" i="1"/>
  <c r="P51" i="1"/>
  <c r="M51" i="1"/>
  <c r="AP51" i="1" s="1"/>
  <c r="K51" i="1"/>
  <c r="AR50" i="1"/>
  <c r="AK50" i="1"/>
  <c r="AJ50" i="1"/>
  <c r="AH50" i="1"/>
  <c r="AE50" i="1"/>
  <c r="P50" i="1"/>
  <c r="M50" i="1"/>
  <c r="AP50" i="1" s="1"/>
  <c r="K50" i="1"/>
  <c r="AK49" i="1"/>
  <c r="AJ49" i="1"/>
  <c r="AH49" i="1"/>
  <c r="AE49" i="1"/>
  <c r="R49" i="1"/>
  <c r="P49" i="1"/>
  <c r="M49" i="1"/>
  <c r="AQ49" i="1" s="1"/>
  <c r="K49" i="1"/>
  <c r="AK48" i="1"/>
  <c r="O48" i="1"/>
  <c r="N48" i="1"/>
  <c r="L48" i="1"/>
  <c r="J48" i="1"/>
  <c r="AR47" i="1"/>
  <c r="AK47" i="1"/>
  <c r="AJ47" i="1"/>
  <c r="AH47" i="1"/>
  <c r="AE47" i="1"/>
  <c r="P47" i="1"/>
  <c r="M47" i="1"/>
  <c r="AP47" i="1" s="1"/>
  <c r="K47" i="1"/>
  <c r="AK46" i="1"/>
  <c r="AE46" i="1"/>
  <c r="P46" i="1"/>
  <c r="M46" i="1"/>
  <c r="AP46" i="1" s="1"/>
  <c r="K46" i="1"/>
  <c r="AK45" i="1"/>
  <c r="AB45" i="1"/>
  <c r="AD45" i="1" s="1"/>
  <c r="AL45" i="1" s="1"/>
  <c r="O45" i="1"/>
  <c r="N45" i="1"/>
  <c r="J45" i="1"/>
  <c r="AR44" i="1"/>
  <c r="AK44" i="1"/>
  <c r="AJ44" i="1"/>
  <c r="AH44" i="1"/>
  <c r="AE44" i="1"/>
  <c r="O44" i="1"/>
  <c r="P44" i="1" s="1"/>
  <c r="M44" i="1"/>
  <c r="AQ44" i="1" s="1"/>
  <c r="K44" i="1"/>
  <c r="AR43" i="1"/>
  <c r="AK43" i="1"/>
  <c r="AJ43" i="1"/>
  <c r="AH43" i="1"/>
  <c r="AE43" i="1"/>
  <c r="P43" i="1"/>
  <c r="M43" i="1"/>
  <c r="AP43" i="1" s="1"/>
  <c r="K43" i="1"/>
  <c r="AR42" i="1"/>
  <c r="AK42" i="1"/>
  <c r="AJ42" i="1"/>
  <c r="AH42" i="1"/>
  <c r="AE42" i="1"/>
  <c r="P42" i="1"/>
  <c r="M42" i="1"/>
  <c r="AP42" i="1" s="1"/>
  <c r="K42" i="1"/>
  <c r="AR41" i="1"/>
  <c r="AK41" i="1"/>
  <c r="AJ41" i="1"/>
  <c r="AH41" i="1"/>
  <c r="AE41" i="1"/>
  <c r="R41" i="1"/>
  <c r="P41" i="1"/>
  <c r="M41" i="1"/>
  <c r="AP41" i="1" s="1"/>
  <c r="K41" i="1"/>
  <c r="AK40" i="1"/>
  <c r="AB40" i="1"/>
  <c r="AD40" i="1" s="1"/>
  <c r="AL40" i="1" s="1"/>
  <c r="O40" i="1"/>
  <c r="N40" i="1"/>
  <c r="L40" i="1"/>
  <c r="J40" i="1"/>
  <c r="AR39" i="1"/>
  <c r="AK39" i="1"/>
  <c r="AJ39" i="1"/>
  <c r="AH39" i="1"/>
  <c r="AE39" i="1"/>
  <c r="P39" i="1"/>
  <c r="M39" i="1"/>
  <c r="AQ39" i="1" s="1"/>
  <c r="K39" i="1"/>
  <c r="AR33" i="1"/>
  <c r="AK33" i="1"/>
  <c r="AJ33" i="1"/>
  <c r="AE33" i="1"/>
  <c r="M33" i="1"/>
  <c r="AQ33" i="1" s="1"/>
  <c r="K33" i="1"/>
  <c r="AK32" i="1"/>
  <c r="AB32" i="1"/>
  <c r="AD32" i="1" s="1"/>
  <c r="O32" i="1"/>
  <c r="N32" i="1"/>
  <c r="L32" i="1"/>
  <c r="J32" i="1"/>
  <c r="AK31" i="1"/>
  <c r="AJ31" i="1"/>
  <c r="AH31" i="1"/>
  <c r="AE31" i="1"/>
  <c r="R31" i="1"/>
  <c r="P31" i="1"/>
  <c r="M31" i="1"/>
  <c r="AQ31" i="1" s="1"/>
  <c r="K31" i="1"/>
  <c r="AR30" i="1"/>
  <c r="AR29" i="1" s="1"/>
  <c r="AK30" i="1"/>
  <c r="AJ30" i="1"/>
  <c r="AH30" i="1"/>
  <c r="AE30" i="1"/>
  <c r="P30" i="1"/>
  <c r="P29" i="1" s="1"/>
  <c r="M30" i="1"/>
  <c r="AQ30" i="1" s="1"/>
  <c r="K30" i="1"/>
  <c r="K29" i="1" s="1"/>
  <c r="AK29" i="1"/>
  <c r="AE29" i="1"/>
  <c r="AH29" i="1"/>
  <c r="O29" i="1"/>
  <c r="N29" i="1"/>
  <c r="L29" i="1"/>
  <c r="J29" i="1"/>
  <c r="AR28" i="1"/>
  <c r="AK28" i="1"/>
  <c r="AJ28" i="1"/>
  <c r="AH28" i="1"/>
  <c r="AE28" i="1"/>
  <c r="R28" i="1"/>
  <c r="O28" i="1"/>
  <c r="O27" i="1" s="1"/>
  <c r="M28" i="1"/>
  <c r="AP28" i="1" s="1"/>
  <c r="K28" i="1"/>
  <c r="K27" i="1" s="1"/>
  <c r="AK27" i="1"/>
  <c r="AB27" i="1"/>
  <c r="N27" i="1"/>
  <c r="L27" i="1"/>
  <c r="J27" i="1"/>
  <c r="AE25" i="1"/>
  <c r="AR25" i="1"/>
  <c r="M25" i="1"/>
  <c r="AQ25" i="1" s="1"/>
  <c r="K25" i="1"/>
  <c r="AR22" i="1"/>
  <c r="M22" i="1"/>
  <c r="AQ22" i="1" s="1"/>
  <c r="K22" i="1"/>
  <c r="AK21" i="1"/>
  <c r="AR19" i="1"/>
  <c r="AK19" i="1"/>
  <c r="AJ19" i="1"/>
  <c r="AH19" i="1"/>
  <c r="AE19" i="1"/>
  <c r="P19" i="1"/>
  <c r="M19" i="1"/>
  <c r="AP19" i="1" s="1"/>
  <c r="K19" i="1"/>
  <c r="AR18" i="1"/>
  <c r="AK18" i="1"/>
  <c r="AJ18" i="1"/>
  <c r="AE18" i="1"/>
  <c r="P18" i="1"/>
  <c r="M18" i="1"/>
  <c r="K18" i="1"/>
  <c r="AK17" i="1"/>
  <c r="AH17" i="1"/>
  <c r="AR17" i="1"/>
  <c r="AE17" i="1"/>
  <c r="P17" i="1"/>
  <c r="M17" i="1"/>
  <c r="AQ17" i="1" s="1"/>
  <c r="K17" i="1"/>
  <c r="AK16" i="1"/>
  <c r="O16" i="1"/>
  <c r="N16" i="1"/>
  <c r="L16" i="1"/>
  <c r="J16" i="1"/>
  <c r="AK15" i="1"/>
  <c r="AJ15" i="1"/>
  <c r="AH15" i="1"/>
  <c r="AE15" i="1"/>
  <c r="AQ15" i="1"/>
  <c r="AR14" i="1"/>
  <c r="AK14" i="1"/>
  <c r="AJ14" i="1"/>
  <c r="AH14" i="1"/>
  <c r="AE14" i="1"/>
  <c r="AQ14" i="1"/>
  <c r="AR13" i="1"/>
  <c r="AK13" i="1"/>
  <c r="AJ13" i="1"/>
  <c r="AH13" i="1"/>
  <c r="AE13" i="1"/>
  <c r="AQ13" i="1"/>
  <c r="AR12" i="1"/>
  <c r="AK12" i="1"/>
  <c r="AJ12" i="1"/>
  <c r="AH12" i="1"/>
  <c r="AE12" i="1"/>
  <c r="AQ12" i="1"/>
  <c r="AR11" i="1"/>
  <c r="AK11" i="1"/>
  <c r="AJ11" i="1"/>
  <c r="AH11" i="1"/>
  <c r="AE11" i="1"/>
  <c r="AQ11" i="1"/>
  <c r="AK10" i="1"/>
  <c r="AJ10" i="1"/>
  <c r="AH10" i="1"/>
  <c r="AE10" i="1"/>
  <c r="AP10" i="1"/>
  <c r="AR9" i="1"/>
  <c r="AK9" i="1"/>
  <c r="AJ9" i="1"/>
  <c r="AH9" i="1"/>
  <c r="AE9" i="1"/>
  <c r="AP9" i="1"/>
  <c r="AK7" i="1"/>
  <c r="AM32" i="1" l="1"/>
  <c r="AL32" i="1"/>
  <c r="AO32" i="1"/>
  <c r="AI32" i="1"/>
  <c r="AG40" i="1"/>
  <c r="AI40" i="1"/>
  <c r="AO45" i="1"/>
  <c r="AG45" i="1"/>
  <c r="AI45" i="1"/>
  <c r="AE27" i="1"/>
  <c r="AD27" i="1"/>
  <c r="AL27" i="1" s="1"/>
  <c r="AN40" i="1"/>
  <c r="AF40" i="1"/>
  <c r="AN45" i="1"/>
  <c r="AF45" i="1"/>
  <c r="AN32" i="1"/>
  <c r="AF32" i="1"/>
  <c r="AR27" i="1"/>
  <c r="AR21" i="1" s="1"/>
  <c r="K45" i="1"/>
  <c r="K40" i="1"/>
  <c r="AR32" i="1"/>
  <c r="AR40" i="1"/>
  <c r="P45" i="1"/>
  <c r="AE45" i="1"/>
  <c r="M40" i="1"/>
  <c r="AQ40" i="1" s="1"/>
  <c r="P16" i="1"/>
  <c r="J21" i="1"/>
  <c r="J7" i="1" s="1"/>
  <c r="J57" i="1" s="1"/>
  <c r="N21" i="1"/>
  <c r="N7" i="1" s="1"/>
  <c r="N57" i="1" s="1"/>
  <c r="O21" i="1"/>
  <c r="O7" i="1" s="1"/>
  <c r="K48" i="1"/>
  <c r="K16" i="1"/>
  <c r="P32" i="1"/>
  <c r="R40" i="1"/>
  <c r="AQ55" i="1"/>
  <c r="AH48" i="1"/>
  <c r="AQ56" i="1"/>
  <c r="M48" i="1"/>
  <c r="AP48" i="1" s="1"/>
  <c r="AQ43" i="1"/>
  <c r="M32" i="1"/>
  <c r="AP32" i="1" s="1"/>
  <c r="K21" i="1"/>
  <c r="P48" i="1"/>
  <c r="AQ50" i="1"/>
  <c r="AR48" i="1"/>
  <c r="L21" i="1"/>
  <c r="L7" i="1" s="1"/>
  <c r="L57" i="1" s="1"/>
  <c r="P28" i="1"/>
  <c r="P27" i="1" s="1"/>
  <c r="P21" i="1" s="1"/>
  <c r="AQ42" i="1"/>
  <c r="AQ52" i="1"/>
  <c r="M27" i="1"/>
  <c r="AQ27" i="1" s="1"/>
  <c r="R29" i="1"/>
  <c r="AP17" i="1"/>
  <c r="AP31" i="1"/>
  <c r="P40" i="1"/>
  <c r="R45" i="1"/>
  <c r="AH27" i="1"/>
  <c r="AQ41" i="1"/>
  <c r="AP44" i="1"/>
  <c r="AQ51" i="1"/>
  <c r="M45" i="1"/>
  <c r="AQ47" i="1"/>
  <c r="AR16" i="1"/>
  <c r="AE32" i="1"/>
  <c r="AB21" i="1"/>
  <c r="AE40" i="1"/>
  <c r="R16" i="1"/>
  <c r="M29" i="1"/>
  <c r="AP30" i="1"/>
  <c r="M16" i="1"/>
  <c r="AQ18" i="1"/>
  <c r="AP18" i="1"/>
  <c r="AH18" i="1"/>
  <c r="AP22" i="1"/>
  <c r="R27" i="1"/>
  <c r="K32" i="1"/>
  <c r="AR46" i="1"/>
  <c r="AR45" i="1" s="1"/>
  <c r="AP49" i="1"/>
  <c r="AQ9" i="1"/>
  <c r="AQ10" i="1"/>
  <c r="AB16" i="1"/>
  <c r="AQ19" i="1"/>
  <c r="AP25" i="1"/>
  <c r="AQ28" i="1"/>
  <c r="AJ32" i="1"/>
  <c r="AH40" i="1"/>
  <c r="AQ46" i="1"/>
  <c r="AE48" i="1"/>
  <c r="AP11" i="1"/>
  <c r="AP12" i="1"/>
  <c r="AP13" i="1"/>
  <c r="AP14" i="1"/>
  <c r="AP15" i="1"/>
  <c r="AH32" i="1"/>
  <c r="AP33" i="1"/>
  <c r="AP39" i="1"/>
  <c r="AJ40" i="1"/>
  <c r="R48" i="1"/>
  <c r="AJ46" i="1"/>
  <c r="AJ17" i="1"/>
  <c r="AJ29" i="1"/>
  <c r="AH46" i="1"/>
  <c r="AJ48" i="1"/>
  <c r="AJ27" i="1" l="1"/>
  <c r="AD16" i="1"/>
  <c r="AH16" i="1" s="1"/>
  <c r="AB7" i="1"/>
  <c r="AN27" i="1"/>
  <c r="AF27" i="1"/>
  <c r="AE21" i="1"/>
  <c r="AD21" i="1"/>
  <c r="AN16" i="1"/>
  <c r="R21" i="1"/>
  <c r="P7" i="1"/>
  <c r="P8" i="1" s="1"/>
  <c r="O57" i="1"/>
  <c r="O8" i="1"/>
  <c r="Q57" i="1"/>
  <c r="AP40" i="1"/>
  <c r="K7" i="1"/>
  <c r="K57" i="1" s="1"/>
  <c r="AQ48" i="1"/>
  <c r="AQ32" i="1"/>
  <c r="AR7" i="1"/>
  <c r="AR57" i="1" s="1"/>
  <c r="AP27" i="1"/>
  <c r="AE16" i="1"/>
  <c r="AP45" i="1"/>
  <c r="AH45" i="1"/>
  <c r="AJ45" i="1"/>
  <c r="AQ45" i="1"/>
  <c r="AQ29" i="1"/>
  <c r="AP29" i="1"/>
  <c r="M21" i="1"/>
  <c r="AP16" i="1"/>
  <c r="AQ16" i="1" l="1"/>
  <c r="AL21" i="1"/>
  <c r="AM21" i="1"/>
  <c r="AM16" i="1"/>
  <c r="AL16" i="1"/>
  <c r="AJ21" i="1"/>
  <c r="AG21" i="1"/>
  <c r="AI21" i="1"/>
  <c r="AO21" i="1"/>
  <c r="AI16" i="1"/>
  <c r="AO16" i="1"/>
  <c r="AG16" i="1"/>
  <c r="AF16" i="1"/>
  <c r="AJ16" i="1"/>
  <c r="AD7" i="1"/>
  <c r="AH21" i="1"/>
  <c r="AQ21" i="1"/>
  <c r="AN21" i="1"/>
  <c r="AF21" i="1"/>
  <c r="AE7" i="1"/>
  <c r="AB8" i="1"/>
  <c r="AD8" i="1" s="1"/>
  <c r="P57" i="1"/>
  <c r="M7" i="1"/>
  <c r="R7" i="1"/>
  <c r="R8" i="1" s="1"/>
  <c r="AP21" i="1"/>
  <c r="AB57" i="1"/>
  <c r="AM7" i="1" l="1"/>
  <c r="AL7" i="1"/>
  <c r="AL8" i="1"/>
  <c r="AM8" i="1"/>
  <c r="AO7" i="1"/>
  <c r="AI7" i="1"/>
  <c r="AO8" i="1"/>
  <c r="AI8" i="1"/>
  <c r="AJ7" i="1"/>
  <c r="AE8" i="1"/>
  <c r="AN8" i="1"/>
  <c r="AH8" i="1"/>
  <c r="AG8" i="1"/>
  <c r="AF8" i="1"/>
  <c r="AD57" i="1"/>
  <c r="AH7" i="1"/>
  <c r="AN7" i="1"/>
  <c r="AG7" i="1"/>
  <c r="AF7" i="1"/>
  <c r="AP7" i="1"/>
  <c r="AE57" i="1"/>
  <c r="R57" i="1"/>
  <c r="AQ7" i="1"/>
  <c r="M57" i="1"/>
  <c r="AL57" i="1" l="1"/>
  <c r="AM57" i="1"/>
  <c r="AO57" i="1"/>
  <c r="AI57" i="1"/>
  <c r="AH57" i="1"/>
  <c r="AN57" i="1"/>
  <c r="AG57" i="1"/>
  <c r="AF57" i="1"/>
  <c r="AJ57" i="1"/>
  <c r="AQ57" i="1"/>
  <c r="AP57" i="1"/>
</calcChain>
</file>

<file path=xl/sharedStrings.xml><?xml version="1.0" encoding="utf-8"?>
<sst xmlns="http://schemas.openxmlformats.org/spreadsheetml/2006/main" count="120" uniqueCount="94">
  <si>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</si>
  <si>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</si>
  <si>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</si>
  <si>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</si>
  <si>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</si>
  <si>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</si>
  <si>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</si>
  <si>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</si>
  <si>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</si>
  <si>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</si>
  <si>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</si>
  <si>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</si>
  <si>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</si>
  <si>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</si>
  <si>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</si>
  <si>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</si>
  <si>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</si>
  <si>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</si>
  <si>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</si>
  <si>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</si>
  <si>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</si>
  <si>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</si>
  <si>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</si>
  <si>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</si>
  <si>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</si>
  <si>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</si>
  <si>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</si>
  <si>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</si>
  <si>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</si>
  <si>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</si>
  <si>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</si>
  <si>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</si>
  <si>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</si>
  <si>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</si>
  <si>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</si>
  <si>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</si>
  <si>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</si>
  <si>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</si>
  <si>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</si>
  <si>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</si>
  <si>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</si>
  <si>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</si>
  <si>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</si>
  <si>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</si>
  <si>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</si>
  <si>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</si>
  <si>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</si>
  <si>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</si>
  <si>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</si>
  <si>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</si>
  <si>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</si>
  <si>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</si>
  <si>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</si>
  <si>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</si>
  <si>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</si>
  <si>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</si>
  <si>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</si>
  <si>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</si>
  <si>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</si>
  <si>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</si>
  <si>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</si>
  <si>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</si>
  <si>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</si>
  <si>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</si>
  <si>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601 1 13 01994 04 2000 130</t>
  </si>
  <si>
    <t>606 1 13 01994 04 2000 130</t>
  </si>
  <si>
    <t>644 1 13 01994 04 2000 130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</si>
  <si>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</si>
  <si>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</si>
  <si>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</si>
  <si>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</si>
  <si>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602 Управление имущественных и земельных отношений АБГО СК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</si>
  <si>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</si>
  <si>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</si>
  <si>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</si>
  <si>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в т.ч. 011 Министерство имущественных отношений Ставропольского края</t>
  </si>
  <si>
    <t>План по доходам с учетом изменений на 2022 г</t>
  </si>
  <si>
    <t>ФАКТ за 2022 г</t>
  </si>
  <si>
    <t>План по доходам на 2023 г (первоначальный)</t>
  </si>
  <si>
    <t>План по доходам на 2023 г (уточненный)</t>
  </si>
  <si>
    <t>откл.+- от уточненного годового плана 2023 г</t>
  </si>
  <si>
    <t>откл.+- от первоначального годового плана 2023 г</t>
  </si>
  <si>
    <t>607 1 13 01994 04 2000 130</t>
  </si>
  <si>
    <t>611 1 13 01994 04 2000 130</t>
  </si>
  <si>
    <r>
      <t xml:space="preserve">ФАКТ за 2022 г (в сопоставимых условиях 2023 года)    </t>
    </r>
    <r>
      <rPr>
        <b/>
        <sz val="14"/>
        <rFont val="Times New Roman"/>
        <family val="1"/>
        <charset val="204"/>
      </rPr>
      <t xml:space="preserve"> (30,38%)</t>
    </r>
  </si>
  <si>
    <t>откл.+- от плана за 2 месяц 2023 года</t>
  </si>
  <si>
    <r>
      <t>Исполнено по 16.02.2022 год (в сопоставимых условиях 2023 года)</t>
    </r>
    <r>
      <rPr>
        <b/>
        <sz val="14"/>
        <rFont val="Times New Roman"/>
        <family val="1"/>
        <charset val="204"/>
      </rPr>
      <t xml:space="preserve">     (30,38%)</t>
    </r>
  </si>
  <si>
    <t>Исполнено по 16.02.2022 год</t>
  </si>
  <si>
    <r>
      <t xml:space="preserve">Исполнение с 01.01.2023 по 16.02.2023
</t>
    </r>
    <r>
      <rPr>
        <b/>
        <sz val="14"/>
        <rFont val="Times New Roman"/>
        <family val="1"/>
        <charset val="204"/>
      </rPr>
      <t>(31,84%)</t>
    </r>
  </si>
  <si>
    <t>откл.+- от исполнения на 16.02.2022 г  (в сопоставимых условиях 2023 года)</t>
  </si>
  <si>
    <t>с 03.02.2023 по 09.02.2023 (неделя) П</t>
  </si>
  <si>
    <t>с 10.02.2023 по 16.02.2023 (неделя) Т</t>
  </si>
  <si>
    <r>
      <t xml:space="preserve">Исполнение с 01.01.2023 по 09.02.2023
</t>
    </r>
    <r>
      <rPr>
        <b/>
        <sz val="14"/>
        <rFont val="Times New Roman"/>
        <family val="1"/>
        <charset val="204"/>
      </rPr>
      <t>(30,38%)</t>
    </r>
  </si>
  <si>
    <t>Исполнение бюджета Благодарненского городского округа Ставропольского края по доходам по состоянию на 16.02.2023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</si>
</sst>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</cellStyleXfs>
  <cellXfs count="108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0" fontId="4" fillId="4" borderId="1" xfId="1" applyFont="1" applyFill="1" applyBorder="1" applyAlignment="1" applyProtection="1">
      <alignment horizontal="left" wrapText="1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4" xfId="1" applyNumberFormat="1" applyFont="1" applyBorder="1" applyAlignment="1" applyProtection="1">
      <alignment horizontal="right"/>
      <protection hidden="1"/>
    </xf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4" fontId="4" fillId="0" borderId="0" xfId="1" applyNumberFormat="1" applyFont="1" applyAlignment="1" applyProtection="1">
      <alignment horizontal="right"/>
      <protection hidden="1"/>
    </xf>
    <xf numFmtId="164" fontId="4" fillId="0" borderId="4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164" fontId="4" fillId="3" borderId="0" xfId="1" applyNumberFormat="1" applyFont="1" applyFill="1" applyAlignment="1" applyProtection="1">
      <alignment horizontal="right"/>
      <protection hidden="1"/>
    </xf>
    <xf numFmtId="0" fontId="4" fillId="0" borderId="5" xfId="1" applyFont="1" applyBorder="1" applyAlignment="1" applyProtection="1">
      <alignment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4" fillId="4" borderId="1" xfId="1" applyFont="1" applyFill="1" applyBorder="1" applyAlignment="1" applyProtection="1">
      <alignment horizontal="left" vertical="top" wrapText="1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4" fontId="4" fillId="0" borderId="0" xfId="1" applyNumberFormat="1" applyFont="1" applyProtection="1">
      <protection hidden="1"/>
    </xf>
    <xf numFmtId="4" fontId="4" fillId="0" borderId="0" xfId="1" applyNumberFormat="1" applyFont="1"/>
    <xf numFmtId="165" fontId="4" fillId="0" borderId="0" xfId="1" applyNumberFormat="1" applyFont="1" applyProtection="1">
      <protection hidden="1"/>
    </xf>
    <xf numFmtId="4" fontId="4" fillId="3" borderId="5" xfId="1" applyNumberFormat="1" applyFont="1" applyFill="1" applyBorder="1" applyAlignment="1" applyProtection="1">
      <alignment vertical="center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2" fontId="4" fillId="0" borderId="0" xfId="1" applyNumberFormat="1" applyFont="1"/>
    <xf numFmtId="165" fontId="4" fillId="0" borderId="5" xfId="1" applyNumberFormat="1" applyFont="1" applyBorder="1" applyAlignment="1" applyProtection="1">
      <alignment vertic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5" fillId="9" borderId="1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3" borderId="11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4" fontId="4" fillId="0" borderId="0" xfId="1" applyNumberFormat="1" applyFont="1" applyAlignment="1">
      <alignment horizontal="center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</cellXfs>
  <cellStyles count="23">
    <cellStyle name="Обычный" xfId="0" builtinId="0"/>
    <cellStyle name="Обычный 10" xfId="18"/>
    <cellStyle name="Обычный 11" xfId="19"/>
    <cellStyle name="Обычный 12" xfId="20"/>
    <cellStyle name="Обычный 13" xfId="21"/>
    <cellStyle name="Обычный 14" xfId="22"/>
    <cellStyle name="Обычный 2" xfId="1"/>
    <cellStyle name="Обычный 2 2" xfId="3"/>
    <cellStyle name="Обычный 2 2 2" xfId="11"/>
    <cellStyle name="Обычный 3" xfId="2"/>
    <cellStyle name="Обычный 3 2" xfId="10"/>
    <cellStyle name="Обычный 4" xfId="4"/>
    <cellStyle name="Обычный 4 2" xfId="12"/>
    <cellStyle name="Обычный 5" xfId="5"/>
    <cellStyle name="Обычный 5 2" xfId="13"/>
    <cellStyle name="Обычный 6" xfId="6"/>
    <cellStyle name="Обычный 6 2" xfId="14"/>
    <cellStyle name="Обычный 7" xfId="7"/>
    <cellStyle name="Обычный 7 2" xfId="15"/>
    <cellStyle name="Обычный 8" xfId="8"/>
    <cellStyle name="Обычный 8 2" xfId="16"/>
    <cellStyle name="Обычный 9" xfId="9"/>
    <cellStyle name="Обычный 9 2" xfId="17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0"/>
  <sheetViews>
    <sheetView showGridLines="0" tabSelected="1" view="pageBreakPreview" zoomScale="66" zoomScaleNormal="68" zoomScaleSheetLayoutView="66" workbookViewId="0">
      <pane xSplit="20" ySplit="5" topLeftCell="U52" activePane="bottomRight" state="frozen"/>
      <selection pane="topRight" activeCell="U1" sqref="U1"/>
      <selection pane="bottomLeft" activeCell="A6" sqref="A6"/>
      <selection pane="bottomRight" activeCell="I2" sqref="I2:AN2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22.140625" style="1" hidden="1" customWidth="1"/>
    <col min="18" max="18" width="25.42578125" style="1" hidden="1" customWidth="1"/>
    <col min="19" max="19" width="27.28515625" style="1" hidden="1" customWidth="1"/>
    <col min="20" max="20" width="21.42578125" style="1" hidden="1" customWidth="1"/>
    <col min="21" max="21" width="25.42578125" style="1" customWidth="1"/>
    <col min="22" max="22" width="25.140625" style="1" hidden="1" customWidth="1"/>
    <col min="23" max="23" width="25.42578125" style="1" customWidth="1"/>
    <col min="24" max="24" width="17" style="1" hidden="1" customWidth="1"/>
    <col min="25" max="25" width="25.28515625" style="1" customWidth="1"/>
    <col min="26" max="26" width="25" style="1" hidden="1" customWidth="1"/>
    <col min="27" max="28" width="22.140625" style="1" hidden="1" customWidth="1"/>
    <col min="29" max="29" width="23.5703125" style="1" hidden="1" customWidth="1"/>
    <col min="30" max="30" width="23.85546875" style="1" customWidth="1"/>
    <col min="31" max="31" width="20.85546875" style="1" hidden="1" customWidth="1"/>
    <col min="32" max="32" width="23.42578125" style="1" hidden="1" customWidth="1"/>
    <col min="33" max="33" width="12" style="1" hidden="1" customWidth="1"/>
    <col min="34" max="34" width="22.85546875" style="1" customWidth="1"/>
    <col min="35" max="35" width="14" style="1" customWidth="1"/>
    <col min="36" max="36" width="9.42578125" style="1" hidden="1" customWidth="1"/>
    <col min="37" max="37" width="16.5703125" style="1" hidden="1" customWidth="1"/>
    <col min="38" max="38" width="23.42578125" style="1" hidden="1" customWidth="1"/>
    <col min="39" max="39" width="14.5703125" style="1" hidden="1" customWidth="1"/>
    <col min="40" max="40" width="20.7109375" style="1" customWidth="1"/>
    <col min="41" max="41" width="12.5703125" style="1" customWidth="1"/>
    <col min="42" max="42" width="28.28515625" style="1" hidden="1" customWidth="1"/>
    <col min="43" max="43" width="18.42578125" style="1" hidden="1" customWidth="1"/>
    <col min="44" max="44" width="23.7109375" style="1" hidden="1" customWidth="1"/>
    <col min="45" max="45" width="9.140625" style="1" customWidth="1"/>
    <col min="46" max="46" width="22.42578125" style="1" customWidth="1"/>
    <col min="47" max="249" width="9.140625" style="1" customWidth="1"/>
    <col min="250" max="16384" width="9.140625" style="1"/>
  </cols>
  <sheetData>
    <row r="1" spans="1:44" ht="28.5" customHeight="1" x14ac:dyDescent="0.2">
      <c r="A1" s="3"/>
      <c r="B1" s="2"/>
      <c r="C1" s="2"/>
      <c r="D1" s="2"/>
      <c r="E1" s="2"/>
      <c r="F1" s="2"/>
      <c r="G1" s="2"/>
      <c r="H1" s="2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2"/>
      <c r="AJ1" s="2"/>
      <c r="AK1" s="2"/>
      <c r="AL1" s="2"/>
      <c r="AM1" s="2"/>
      <c r="AN1" s="2"/>
      <c r="AO1" s="2"/>
      <c r="AP1" s="2"/>
    </row>
    <row r="2" spans="1:44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89" t="s">
        <v>93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45"/>
      <c r="AP2" s="7"/>
    </row>
    <row r="3" spans="1:44" s="5" customFormat="1" ht="19.5" customHeight="1" x14ac:dyDescent="0.3">
      <c r="A3" s="4"/>
      <c r="B3" s="4"/>
      <c r="C3" s="4"/>
      <c r="D3" s="4"/>
      <c r="E3" s="4"/>
      <c r="F3" s="4"/>
      <c r="G3" s="4"/>
      <c r="H3" s="4"/>
      <c r="I3" s="4"/>
      <c r="J3" s="35"/>
      <c r="K3" s="35"/>
      <c r="L3" s="4"/>
      <c r="M3" s="35"/>
      <c r="N3" s="35"/>
      <c r="O3" s="35"/>
      <c r="P3" s="35"/>
      <c r="Q3" s="76"/>
      <c r="R3" s="77"/>
      <c r="S3" s="77"/>
      <c r="T3" s="77"/>
      <c r="U3" s="77"/>
      <c r="V3" s="77"/>
      <c r="W3" s="77"/>
      <c r="X3" s="77"/>
      <c r="Y3" s="79"/>
      <c r="Z3" s="79"/>
      <c r="AA3" s="35"/>
      <c r="AB3" s="77"/>
      <c r="AC3" s="35"/>
      <c r="AD3" s="79"/>
      <c r="AE3" s="4"/>
      <c r="AF3" s="4"/>
      <c r="AG3" s="4"/>
      <c r="AH3" s="75"/>
      <c r="AI3" s="4"/>
      <c r="AJ3" s="4"/>
      <c r="AK3" s="4"/>
      <c r="AL3" s="4"/>
      <c r="AM3" s="4"/>
      <c r="AN3" s="4"/>
      <c r="AO3" s="50" t="s">
        <v>67</v>
      </c>
      <c r="AP3" s="4"/>
    </row>
    <row r="4" spans="1:44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92" t="s">
        <v>35</v>
      </c>
      <c r="J4" s="90" t="s">
        <v>49</v>
      </c>
      <c r="K4" s="90" t="s">
        <v>56</v>
      </c>
      <c r="L4" s="91" t="s">
        <v>61</v>
      </c>
      <c r="M4" s="90" t="s">
        <v>59</v>
      </c>
      <c r="N4" s="90" t="s">
        <v>58</v>
      </c>
      <c r="O4" s="91" t="s">
        <v>55</v>
      </c>
      <c r="P4" s="90" t="s">
        <v>72</v>
      </c>
      <c r="Q4" s="91" t="s">
        <v>74</v>
      </c>
      <c r="R4" s="90" t="s">
        <v>73</v>
      </c>
      <c r="S4" s="93" t="s">
        <v>76</v>
      </c>
      <c r="T4" s="91" t="s">
        <v>77</v>
      </c>
      <c r="U4" s="90" t="s">
        <v>84</v>
      </c>
      <c r="V4" s="91" t="s">
        <v>87</v>
      </c>
      <c r="W4" s="90" t="s">
        <v>86</v>
      </c>
      <c r="X4" s="94" t="s">
        <v>78</v>
      </c>
      <c r="Y4" s="85" t="s">
        <v>79</v>
      </c>
      <c r="Z4" s="86"/>
      <c r="AA4" s="96" t="s">
        <v>62</v>
      </c>
      <c r="AB4" s="96"/>
      <c r="AC4" s="102" t="s">
        <v>92</v>
      </c>
      <c r="AD4" s="90" t="s">
        <v>88</v>
      </c>
      <c r="AE4" s="98" t="s">
        <v>47</v>
      </c>
      <c r="AF4" s="93" t="s">
        <v>81</v>
      </c>
      <c r="AG4" s="93"/>
      <c r="AH4" s="96" t="s">
        <v>80</v>
      </c>
      <c r="AI4" s="96"/>
      <c r="AJ4" s="96" t="s">
        <v>57</v>
      </c>
      <c r="AK4" s="96"/>
      <c r="AL4" s="96" t="s">
        <v>85</v>
      </c>
      <c r="AM4" s="96"/>
      <c r="AN4" s="96" t="s">
        <v>89</v>
      </c>
      <c r="AO4" s="96"/>
      <c r="AP4" s="96" t="s">
        <v>60</v>
      </c>
      <c r="AQ4" s="96"/>
      <c r="AR4" s="39" t="s">
        <v>54</v>
      </c>
    </row>
    <row r="5" spans="1:44" s="5" customFormat="1" ht="57" customHeight="1" x14ac:dyDescent="0.3">
      <c r="A5" s="4"/>
      <c r="B5" s="48" t="s">
        <v>34</v>
      </c>
      <c r="C5" s="48" t="s">
        <v>33</v>
      </c>
      <c r="D5" s="48" t="s">
        <v>32</v>
      </c>
      <c r="E5" s="48" t="s">
        <v>31</v>
      </c>
      <c r="F5" s="48" t="s">
        <v>30</v>
      </c>
      <c r="G5" s="48" t="s">
        <v>29</v>
      </c>
      <c r="H5" s="48" t="s">
        <v>28</v>
      </c>
      <c r="I5" s="92"/>
      <c r="J5" s="90"/>
      <c r="K5" s="90"/>
      <c r="L5" s="91"/>
      <c r="M5" s="90"/>
      <c r="N5" s="90"/>
      <c r="O5" s="91"/>
      <c r="P5" s="90"/>
      <c r="Q5" s="91"/>
      <c r="R5" s="90"/>
      <c r="S5" s="93"/>
      <c r="T5" s="91"/>
      <c r="U5" s="90"/>
      <c r="V5" s="91"/>
      <c r="W5" s="90"/>
      <c r="X5" s="95"/>
      <c r="Y5" s="87"/>
      <c r="Z5" s="88"/>
      <c r="AA5" s="41" t="s">
        <v>90</v>
      </c>
      <c r="AB5" s="83" t="s">
        <v>91</v>
      </c>
      <c r="AC5" s="103"/>
      <c r="AD5" s="90"/>
      <c r="AE5" s="99"/>
      <c r="AF5" s="81" t="s">
        <v>40</v>
      </c>
      <c r="AG5" s="81" t="s">
        <v>41</v>
      </c>
      <c r="AH5" s="48" t="s">
        <v>40</v>
      </c>
      <c r="AI5" s="48" t="s">
        <v>41</v>
      </c>
      <c r="AJ5" s="48" t="s">
        <v>40</v>
      </c>
      <c r="AK5" s="48" t="s">
        <v>41</v>
      </c>
      <c r="AL5" s="48" t="s">
        <v>40</v>
      </c>
      <c r="AM5" s="48" t="s">
        <v>41</v>
      </c>
      <c r="AN5" s="48" t="s">
        <v>40</v>
      </c>
      <c r="AO5" s="48" t="s">
        <v>41</v>
      </c>
      <c r="AP5" s="48" t="s">
        <v>40</v>
      </c>
      <c r="AQ5" s="48" t="s">
        <v>41</v>
      </c>
      <c r="AR5" s="48" t="s">
        <v>40</v>
      </c>
    </row>
    <row r="6" spans="1:44" s="5" customFormat="1" ht="18.75" x14ac:dyDescent="0.3">
      <c r="A6" s="4"/>
      <c r="B6" s="48"/>
      <c r="C6" s="48"/>
      <c r="D6" s="48"/>
      <c r="E6" s="48"/>
      <c r="F6" s="48"/>
      <c r="G6" s="48"/>
      <c r="H6" s="48"/>
      <c r="I6" s="36">
        <v>1</v>
      </c>
      <c r="J6" s="36">
        <v>8</v>
      </c>
      <c r="K6" s="36">
        <v>3</v>
      </c>
      <c r="L6" s="36"/>
      <c r="M6" s="36">
        <v>2</v>
      </c>
      <c r="N6" s="36">
        <v>8</v>
      </c>
      <c r="O6" s="36">
        <v>3</v>
      </c>
      <c r="P6" s="36">
        <v>4</v>
      </c>
      <c r="Q6" s="36">
        <v>9</v>
      </c>
      <c r="R6" s="36">
        <v>2</v>
      </c>
      <c r="S6" s="36"/>
      <c r="T6" s="36"/>
      <c r="U6" s="36">
        <v>2</v>
      </c>
      <c r="V6" s="36"/>
      <c r="W6" s="36">
        <v>3</v>
      </c>
      <c r="X6" s="36">
        <v>3</v>
      </c>
      <c r="Y6" s="36">
        <v>4</v>
      </c>
      <c r="Z6" s="36"/>
      <c r="AA6" s="36">
        <v>8</v>
      </c>
      <c r="AB6" s="36">
        <v>5</v>
      </c>
      <c r="AC6" s="36"/>
      <c r="AD6" s="36">
        <v>5</v>
      </c>
      <c r="AE6" s="36">
        <v>11</v>
      </c>
      <c r="AF6" s="36">
        <v>6</v>
      </c>
      <c r="AG6" s="36">
        <v>7</v>
      </c>
      <c r="AH6" s="36">
        <v>6</v>
      </c>
      <c r="AI6" s="36">
        <v>7</v>
      </c>
      <c r="AJ6" s="36">
        <v>9</v>
      </c>
      <c r="AK6" s="36">
        <v>10</v>
      </c>
      <c r="AL6" s="36">
        <v>14</v>
      </c>
      <c r="AM6" s="36">
        <v>15</v>
      </c>
      <c r="AN6" s="36">
        <v>8</v>
      </c>
      <c r="AO6" s="36">
        <v>9</v>
      </c>
      <c r="AP6" s="36">
        <v>18</v>
      </c>
      <c r="AQ6" s="36">
        <v>19</v>
      </c>
      <c r="AR6" s="38">
        <v>19</v>
      </c>
    </row>
    <row r="7" spans="1:44" s="10" customFormat="1" ht="40.5" customHeight="1" x14ac:dyDescent="0.3">
      <c r="A7" s="9"/>
      <c r="B7" s="97" t="s">
        <v>8</v>
      </c>
      <c r="C7" s="97"/>
      <c r="D7" s="97"/>
      <c r="E7" s="97"/>
      <c r="F7" s="97"/>
      <c r="G7" s="97"/>
      <c r="H7" s="97"/>
      <c r="I7" s="97"/>
      <c r="J7" s="52">
        <f t="shared" ref="J7:R7" si="0">J9+J10+J12+J13+J14+J15+J16+J19+J21+J31+J32+J40+J43+J45+J11</f>
        <v>360649780.94999993</v>
      </c>
      <c r="K7" s="52">
        <f t="shared" si="0"/>
        <v>346641901.21513432</v>
      </c>
      <c r="L7" s="52">
        <f t="shared" si="0"/>
        <v>126453042.85999998</v>
      </c>
      <c r="M7" s="52">
        <f t="shared" si="0"/>
        <v>120776552.37554319</v>
      </c>
      <c r="N7" s="52">
        <f t="shared" si="0"/>
        <v>360402470.81999993</v>
      </c>
      <c r="O7" s="52">
        <f t="shared" si="0"/>
        <v>385569790.7899999</v>
      </c>
      <c r="P7" s="52">
        <f>P9+P10+P12+P13+P14+P15+P16+P19+P21+P31+P32+P40+P43+P45+P11</f>
        <v>384576783.90558708</v>
      </c>
      <c r="Q7" s="52">
        <v>385569790.7899999</v>
      </c>
      <c r="R7" s="52">
        <f t="shared" si="0"/>
        <v>381858850.5055871</v>
      </c>
      <c r="S7" s="52">
        <f>S9+S10+S12+S13+S14+S15+S16+S19+S21+S31+S32+S40+S43+S45+S11+S20</f>
        <v>382886348.21999997</v>
      </c>
      <c r="T7" s="52">
        <f>T9+T10+T12+T13+T14+T15+T16+T19+T21+T31+T32+T40+T43+T45+T11+T20</f>
        <v>405945830.95999998</v>
      </c>
      <c r="U7" s="52">
        <f>U9+U10+U12+U13+U14+U15+U16+U19+U21+U31+U32+U40+U43+U45+U11+U20</f>
        <v>414967089.2946741</v>
      </c>
      <c r="V7" s="52">
        <f t="shared" ref="V7:AD7" si="1">V9+V10+V12+V13+V14+V15+V16+V19+V21+V31+V32+V40+V43+V45+V11+V20</f>
        <v>37521391.559999995</v>
      </c>
      <c r="W7" s="52">
        <f t="shared" si="1"/>
        <v>38520634.848531924</v>
      </c>
      <c r="X7" s="52">
        <f t="shared" si="1"/>
        <v>400415099.64999998</v>
      </c>
      <c r="Y7" s="52">
        <f t="shared" si="1"/>
        <v>443097374.21999997</v>
      </c>
      <c r="Z7" s="52">
        <f t="shared" ref="Z7:AA7" si="2">Z9+Z10+Z12+Z13+Z14+Z15+Z16+Z19+Z21+Z31+Z32+Z40+Z43+Z45+Z11+Z20</f>
        <v>42948248.950000003</v>
      </c>
      <c r="AA7" s="52">
        <f t="shared" si="2"/>
        <v>4549615.2300000004</v>
      </c>
      <c r="AB7" s="52">
        <f t="shared" si="1"/>
        <v>1672422.52</v>
      </c>
      <c r="AC7" s="52">
        <v>20171788.629999999</v>
      </c>
      <c r="AD7" s="52">
        <f t="shared" si="1"/>
        <v>21844211.150000002</v>
      </c>
      <c r="AE7" s="52">
        <f>AB7-AA7</f>
        <v>-2877192.7100000004</v>
      </c>
      <c r="AF7" s="52">
        <f t="shared" ref="AF7:AF37" si="3">AD7-X7</f>
        <v>-378570888.5</v>
      </c>
      <c r="AG7" s="52">
        <f t="shared" ref="AG7:AG26" si="4">AD7/X7*100</f>
        <v>5.4553914597860755</v>
      </c>
      <c r="AH7" s="52">
        <f t="shared" ref="AH7:AH35" si="5">AD7-Y7</f>
        <v>-421253163.06999999</v>
      </c>
      <c r="AI7" s="52">
        <f>AD7/Y7%</f>
        <v>4.9298895504522324</v>
      </c>
      <c r="AJ7" s="52" t="e">
        <f>AD7-#REF!</f>
        <v>#REF!</v>
      </c>
      <c r="AK7" s="52" t="e">
        <f>IF(#REF!=0,0,AD7/#REF!*100)</f>
        <v>#REF!</v>
      </c>
      <c r="AL7" s="52">
        <f>AD7-Z7</f>
        <v>-21104037.800000001</v>
      </c>
      <c r="AM7" s="52">
        <f>AD7/Z7*100</f>
        <v>50.861703757540511</v>
      </c>
      <c r="AN7" s="52">
        <f>AD7-W7</f>
        <v>-16676423.698531922</v>
      </c>
      <c r="AO7" s="52">
        <f>AD7/W7%</f>
        <v>56.707817085295304</v>
      </c>
      <c r="AP7" s="52">
        <f>AD7-M7</f>
        <v>-98932341.225543186</v>
      </c>
      <c r="AQ7" s="52">
        <f>IF(M7=0,0,AD7/M7*100)</f>
        <v>18.086466884795243</v>
      </c>
      <c r="AR7" s="53" t="e">
        <f>AR9+AR10+AR12+AR13+AR14+AR15+AR16+AR19+AR21+AR31+AR32+AR40+AR43+AR45+AR11</f>
        <v>#REF!</v>
      </c>
    </row>
    <row r="8" spans="1:44" s="10" customFormat="1" ht="94.5" customHeight="1" x14ac:dyDescent="0.3">
      <c r="A8" s="9"/>
      <c r="B8" s="65"/>
      <c r="C8" s="65"/>
      <c r="D8" s="65"/>
      <c r="E8" s="65"/>
      <c r="F8" s="65"/>
      <c r="G8" s="65"/>
      <c r="H8" s="65"/>
      <c r="I8" s="66" t="s">
        <v>69</v>
      </c>
      <c r="J8" s="58"/>
      <c r="K8" s="58"/>
      <c r="L8" s="58"/>
      <c r="M8" s="58"/>
      <c r="N8" s="58"/>
      <c r="O8" s="60">
        <f>O7-O32-O47</f>
        <v>352285283.9799999</v>
      </c>
      <c r="P8" s="60">
        <f>P7-P32-P47</f>
        <v>351292277.09558707</v>
      </c>
      <c r="Q8" s="60">
        <v>352285283.9799999</v>
      </c>
      <c r="R8" s="60">
        <f>R7-R32-R47</f>
        <v>348574343.6955871</v>
      </c>
      <c r="S8" s="60">
        <f t="shared" ref="S8" si="6">S7-S32-S47</f>
        <v>353430820.75</v>
      </c>
      <c r="T8" s="60">
        <f>T7-T32-T47+T39-31715.49-30845.55-10000-18222.76-1302-275200</f>
        <v>374964244.18000001</v>
      </c>
      <c r="U8" s="60">
        <f>U7-U32-U47+U39-31715.49-30845.55-10000-18222.76-1302-275200</f>
        <v>383985502.51467413</v>
      </c>
      <c r="V8" s="60">
        <f>V7-V32-V47</f>
        <v>33535382.739999995</v>
      </c>
      <c r="W8" s="60">
        <f>W7-W32-W47</f>
        <v>34534626.028531924</v>
      </c>
      <c r="X8" s="60">
        <f t="shared" ref="X8:Z8" si="7">X7-X32-X47</f>
        <v>372608810</v>
      </c>
      <c r="Y8" s="60">
        <f t="shared" si="7"/>
        <v>413468575.76999998</v>
      </c>
      <c r="Z8" s="60">
        <f t="shared" si="7"/>
        <v>37694435.130000003</v>
      </c>
      <c r="AA8" s="60">
        <f>AA7-AA32-AA47</f>
        <v>3239512.7800000003</v>
      </c>
      <c r="AB8" s="60">
        <f>AB7-AB32-AB47</f>
        <v>347842.55999999988</v>
      </c>
      <c r="AC8" s="60">
        <v>14975945.470000003</v>
      </c>
      <c r="AD8" s="60">
        <f t="shared" ref="AD8:AD56" si="8">AC8+AB8</f>
        <v>15323788.030000003</v>
      </c>
      <c r="AE8" s="59">
        <f t="shared" ref="AE8:AE57" si="9">AB8-AA8</f>
        <v>-2891670.22</v>
      </c>
      <c r="AF8" s="80">
        <f t="shared" si="3"/>
        <v>-357285021.96999997</v>
      </c>
      <c r="AG8" s="80">
        <f t="shared" si="4"/>
        <v>4.1125672873918369</v>
      </c>
      <c r="AH8" s="59">
        <f t="shared" si="5"/>
        <v>-398144787.73999995</v>
      </c>
      <c r="AI8" s="59">
        <f>AD8/Y8%</f>
        <v>3.7061554197831375</v>
      </c>
      <c r="AJ8" s="59"/>
      <c r="AK8" s="59"/>
      <c r="AL8" s="80">
        <f t="shared" ref="AL8:AL57" si="10">AD8-Z8</f>
        <v>-22370647.100000001</v>
      </c>
      <c r="AM8" s="80">
        <f t="shared" ref="AM8:AM57" si="11">AD8/Z8*100</f>
        <v>40.652653308509741</v>
      </c>
      <c r="AN8" s="59">
        <f t="shared" ref="AN8:AN57" si="12">AD8-W8</f>
        <v>-19210837.998531923</v>
      </c>
      <c r="AO8" s="59">
        <f>AD8/W8%</f>
        <v>44.372242564143441</v>
      </c>
      <c r="AP8" s="25"/>
      <c r="AQ8" s="25"/>
      <c r="AR8" s="57"/>
    </row>
    <row r="9" spans="1:44" s="10" customFormat="1" ht="25.5" customHeight="1" x14ac:dyDescent="0.3">
      <c r="A9" s="9"/>
      <c r="B9" s="101" t="s">
        <v>27</v>
      </c>
      <c r="C9" s="101"/>
      <c r="D9" s="101"/>
      <c r="E9" s="101"/>
      <c r="F9" s="101"/>
      <c r="G9" s="101"/>
      <c r="H9" s="101"/>
      <c r="I9" s="101"/>
      <c r="J9" s="54">
        <v>164512361.93000001</v>
      </c>
      <c r="K9" s="55">
        <f>J9/34.24*100*30.38/100</f>
        <v>145966283.74513432</v>
      </c>
      <c r="L9" s="54">
        <v>66310922.030000001</v>
      </c>
      <c r="M9" s="55">
        <f>L9/34.24*100*30.38/100</f>
        <v>58835450.095543221</v>
      </c>
      <c r="N9" s="54">
        <v>151841019.02000001</v>
      </c>
      <c r="O9" s="54">
        <v>159769581.34999999</v>
      </c>
      <c r="P9" s="55">
        <f>O9/30.57%*30.38%</f>
        <v>158776574.46558717</v>
      </c>
      <c r="Q9" s="54">
        <v>159769581.34999999</v>
      </c>
      <c r="R9" s="55">
        <f>Q9/30.57%*30.38%</f>
        <v>158776574.46558717</v>
      </c>
      <c r="S9" s="54">
        <v>175650779.62</v>
      </c>
      <c r="T9" s="54">
        <v>187716320.69</v>
      </c>
      <c r="U9" s="55">
        <f>T9/30.38%*31.84%</f>
        <v>196737579.02467412</v>
      </c>
      <c r="V9" s="54">
        <v>20792473.359999999</v>
      </c>
      <c r="W9" s="55">
        <f>V9/30.38%*31.84%</f>
        <v>21791716.648531929</v>
      </c>
      <c r="X9" s="54">
        <v>188231000</v>
      </c>
      <c r="Y9" s="54">
        <v>229090765.77000001</v>
      </c>
      <c r="Z9" s="54">
        <v>24093461.539999999</v>
      </c>
      <c r="AA9" s="54">
        <v>727079.39</v>
      </c>
      <c r="AB9" s="54">
        <v>0</v>
      </c>
      <c r="AC9" s="54">
        <v>10939888.380000001</v>
      </c>
      <c r="AD9" s="54">
        <f t="shared" si="8"/>
        <v>10939888.380000001</v>
      </c>
      <c r="AE9" s="54">
        <f t="shared" si="9"/>
        <v>-727079.39</v>
      </c>
      <c r="AF9" s="52">
        <f t="shared" si="3"/>
        <v>-177291111.62</v>
      </c>
      <c r="AG9" s="52">
        <f t="shared" si="4"/>
        <v>5.8119482869452961</v>
      </c>
      <c r="AH9" s="54">
        <f t="shared" si="5"/>
        <v>-218150877.39000002</v>
      </c>
      <c r="AI9" s="52">
        <f t="shared" ref="AI9:AI57" si="13">AD9/Y9%</f>
        <v>4.7753510898747038</v>
      </c>
      <c r="AJ9" s="54" t="e">
        <f>AD9-#REF!</f>
        <v>#REF!</v>
      </c>
      <c r="AK9" s="54" t="e">
        <f>IF(#REF!=0,0,AD9/#REF!*100)</f>
        <v>#REF!</v>
      </c>
      <c r="AL9" s="52">
        <f t="shared" si="10"/>
        <v>-13153573.159999998</v>
      </c>
      <c r="AM9" s="52">
        <f t="shared" si="11"/>
        <v>45.406046623220092</v>
      </c>
      <c r="AN9" s="54">
        <f t="shared" si="12"/>
        <v>-10851828.268531928</v>
      </c>
      <c r="AO9" s="52">
        <f t="shared" ref="AO9:AO57" si="14">AD9/W9%</f>
        <v>50.202049505526233</v>
      </c>
      <c r="AP9" s="54">
        <f t="shared" ref="AP9:AP19" si="15">AD9-M9</f>
        <v>-47895561.715543218</v>
      </c>
      <c r="AQ9" s="54">
        <f t="shared" ref="AQ9:AQ19" si="16">IF(M9=0,0,AD9/M9*100)</f>
        <v>18.594042133160627</v>
      </c>
      <c r="AR9" s="56" t="e">
        <f>#REF!</f>
        <v>#REF!</v>
      </c>
    </row>
    <row r="10" spans="1:44" s="10" customFormat="1" ht="61.5" customHeight="1" x14ac:dyDescent="0.3">
      <c r="A10" s="9"/>
      <c r="B10" s="100" t="s">
        <v>26</v>
      </c>
      <c r="C10" s="100"/>
      <c r="D10" s="100"/>
      <c r="E10" s="100"/>
      <c r="F10" s="100"/>
      <c r="G10" s="100"/>
      <c r="H10" s="100"/>
      <c r="I10" s="100"/>
      <c r="J10" s="12">
        <v>20275547.789999999</v>
      </c>
      <c r="K10" s="12">
        <f>J10</f>
        <v>20275547.789999999</v>
      </c>
      <c r="L10" s="12">
        <v>7893925.1100000003</v>
      </c>
      <c r="M10" s="12">
        <f>L10</f>
        <v>7893925.1100000003</v>
      </c>
      <c r="N10" s="12">
        <v>24357274.23</v>
      </c>
      <c r="O10" s="12">
        <v>25632828.5</v>
      </c>
      <c r="P10" s="12">
        <f>O10</f>
        <v>25632828.5</v>
      </c>
      <c r="Q10" s="12">
        <v>25632828.5</v>
      </c>
      <c r="R10" s="12">
        <f>Q10</f>
        <v>25632828.5</v>
      </c>
      <c r="S10" s="12">
        <v>30550000</v>
      </c>
      <c r="T10" s="12">
        <f>30672664.63+10.25</f>
        <v>30672674.879999999</v>
      </c>
      <c r="U10" s="12">
        <f>T10</f>
        <v>30672674.879999999</v>
      </c>
      <c r="V10" s="12">
        <v>2489665.6800000002</v>
      </c>
      <c r="W10" s="12">
        <f>V10</f>
        <v>2489665.6800000002</v>
      </c>
      <c r="X10" s="12">
        <v>28603900</v>
      </c>
      <c r="Y10" s="12">
        <v>28603900</v>
      </c>
      <c r="Z10" s="12">
        <v>2340595.06</v>
      </c>
      <c r="AA10" s="12">
        <v>1763947.48</v>
      </c>
      <c r="AB10" s="12">
        <v>0</v>
      </c>
      <c r="AC10" s="12">
        <v>3636493.2800000003</v>
      </c>
      <c r="AD10" s="12">
        <f t="shared" si="8"/>
        <v>3636493.2800000003</v>
      </c>
      <c r="AE10" s="12">
        <f t="shared" si="9"/>
        <v>-1763947.48</v>
      </c>
      <c r="AF10" s="52">
        <f t="shared" si="3"/>
        <v>-24967406.719999999</v>
      </c>
      <c r="AG10" s="52">
        <f t="shared" si="4"/>
        <v>12.713277839735143</v>
      </c>
      <c r="AH10" s="12">
        <f t="shared" si="5"/>
        <v>-24967406.719999999</v>
      </c>
      <c r="AI10" s="52">
        <f t="shared" si="13"/>
        <v>12.713277839735142</v>
      </c>
      <c r="AJ10" s="12" t="e">
        <f>AD10-#REF!</f>
        <v>#REF!</v>
      </c>
      <c r="AK10" s="12" t="e">
        <f>IF(#REF!=0,0,AD10/#REF!*100)</f>
        <v>#REF!</v>
      </c>
      <c r="AL10" s="52">
        <f t="shared" si="10"/>
        <v>1295898.2200000002</v>
      </c>
      <c r="AM10" s="52">
        <f t="shared" si="11"/>
        <v>155.366186238127</v>
      </c>
      <c r="AN10" s="12">
        <f t="shared" si="12"/>
        <v>1146827.6000000001</v>
      </c>
      <c r="AO10" s="52">
        <v>0</v>
      </c>
      <c r="AP10" s="12">
        <f t="shared" si="15"/>
        <v>-4257431.83</v>
      </c>
      <c r="AQ10" s="12">
        <f t="shared" si="16"/>
        <v>46.066984793069565</v>
      </c>
      <c r="AR10" s="40">
        <v>24865000</v>
      </c>
    </row>
    <row r="11" spans="1:44" s="10" customFormat="1" ht="45.75" customHeight="1" x14ac:dyDescent="0.3">
      <c r="A11" s="9"/>
      <c r="B11" s="67"/>
      <c r="C11" s="67"/>
      <c r="D11" s="67"/>
      <c r="E11" s="67"/>
      <c r="F11" s="67"/>
      <c r="G11" s="67"/>
      <c r="H11" s="67"/>
      <c r="I11" s="67" t="s">
        <v>50</v>
      </c>
      <c r="J11" s="12">
        <v>0</v>
      </c>
      <c r="K11" s="12">
        <f t="shared" ref="K11:K12" si="17">J11</f>
        <v>0</v>
      </c>
      <c r="L11" s="12">
        <v>0</v>
      </c>
      <c r="M11" s="43">
        <f t="shared" ref="M11" si="18">L11</f>
        <v>0</v>
      </c>
      <c r="N11" s="12">
        <v>8810490.5399999991</v>
      </c>
      <c r="O11" s="12">
        <v>9529840.7599999998</v>
      </c>
      <c r="P11" s="12">
        <f t="shared" ref="P11:P14" si="19">O11</f>
        <v>9529840.7599999998</v>
      </c>
      <c r="Q11" s="12">
        <v>9529840.7599999998</v>
      </c>
      <c r="R11" s="12">
        <f>Q11</f>
        <v>9529840.7599999998</v>
      </c>
      <c r="S11" s="12">
        <v>10726300</v>
      </c>
      <c r="T11" s="12">
        <v>11350712.029999999</v>
      </c>
      <c r="U11" s="12">
        <f>T11</f>
        <v>11350712.029999999</v>
      </c>
      <c r="V11" s="12">
        <v>749039.58</v>
      </c>
      <c r="W11" s="12">
        <f>V11</f>
        <v>749039.58</v>
      </c>
      <c r="X11" s="12">
        <v>11972000</v>
      </c>
      <c r="Y11" s="12">
        <v>11972000</v>
      </c>
      <c r="Z11" s="12">
        <v>950122.2</v>
      </c>
      <c r="AA11" s="12">
        <v>60559.59</v>
      </c>
      <c r="AB11" s="12">
        <v>0</v>
      </c>
      <c r="AC11" s="12">
        <v>79496.38</v>
      </c>
      <c r="AD11" s="12">
        <f t="shared" si="8"/>
        <v>79496.38</v>
      </c>
      <c r="AE11" s="12">
        <f t="shared" si="9"/>
        <v>-60559.59</v>
      </c>
      <c r="AF11" s="52">
        <f t="shared" si="3"/>
        <v>-11892503.619999999</v>
      </c>
      <c r="AG11" s="52">
        <f t="shared" si="4"/>
        <v>0.66401921149348486</v>
      </c>
      <c r="AH11" s="12">
        <f t="shared" si="5"/>
        <v>-11892503.619999999</v>
      </c>
      <c r="AI11" s="52">
        <f t="shared" si="13"/>
        <v>0.66401921149348486</v>
      </c>
      <c r="AJ11" s="12" t="e">
        <f>AD11-#REF!</f>
        <v>#REF!</v>
      </c>
      <c r="AK11" s="12" t="e">
        <f>IF(#REF!=0,0,AD11/#REF!*100)</f>
        <v>#REF!</v>
      </c>
      <c r="AL11" s="52">
        <f t="shared" si="10"/>
        <v>-870625.82</v>
      </c>
      <c r="AM11" s="52">
        <f t="shared" si="11"/>
        <v>8.3669637442425842</v>
      </c>
      <c r="AN11" s="12">
        <f t="shared" si="12"/>
        <v>-669543.19999999995</v>
      </c>
      <c r="AO11" s="52">
        <f t="shared" si="14"/>
        <v>10.613108054984226</v>
      </c>
      <c r="AP11" s="12">
        <f t="shared" si="15"/>
        <v>79496.38</v>
      </c>
      <c r="AQ11" s="12">
        <f t="shared" si="16"/>
        <v>0</v>
      </c>
      <c r="AR11" s="40">
        <f>AD11</f>
        <v>79496.38</v>
      </c>
    </row>
    <row r="12" spans="1:44" s="10" customFormat="1" ht="45.75" customHeight="1" x14ac:dyDescent="0.3">
      <c r="A12" s="9"/>
      <c r="B12" s="100" t="s">
        <v>25</v>
      </c>
      <c r="C12" s="100"/>
      <c r="D12" s="100"/>
      <c r="E12" s="100"/>
      <c r="F12" s="100"/>
      <c r="G12" s="100"/>
      <c r="H12" s="100"/>
      <c r="I12" s="100"/>
      <c r="J12" s="12">
        <v>11880184.26</v>
      </c>
      <c r="K12" s="12">
        <f t="shared" si="17"/>
        <v>11880184.26</v>
      </c>
      <c r="L12" s="12">
        <v>5414678.8600000003</v>
      </c>
      <c r="M12" s="43">
        <f>L12</f>
        <v>5414678.8600000003</v>
      </c>
      <c r="N12" s="12">
        <v>2900000</v>
      </c>
      <c r="O12" s="12">
        <v>2940555.44</v>
      </c>
      <c r="P12" s="12">
        <f t="shared" si="19"/>
        <v>2940555.44</v>
      </c>
      <c r="Q12" s="12">
        <v>2940555.44</v>
      </c>
      <c r="R12" s="42">
        <f>U12</f>
        <v>222622.04</v>
      </c>
      <c r="S12" s="12">
        <v>9947.76</v>
      </c>
      <c r="T12" s="12">
        <v>222622.04</v>
      </c>
      <c r="U12" s="12">
        <f t="shared" ref="U12:W14" si="20">T12</f>
        <v>222622.04</v>
      </c>
      <c r="V12" s="12">
        <v>46951.14</v>
      </c>
      <c r="W12" s="12">
        <f t="shared" si="20"/>
        <v>46951.14</v>
      </c>
      <c r="X12" s="12">
        <v>8000</v>
      </c>
      <c r="Y12" s="12">
        <v>8000</v>
      </c>
      <c r="Z12" s="12">
        <v>0</v>
      </c>
      <c r="AA12" s="12">
        <v>0</v>
      </c>
      <c r="AB12" s="12">
        <v>0</v>
      </c>
      <c r="AC12" s="12">
        <v>-427182.21</v>
      </c>
      <c r="AD12" s="12">
        <f t="shared" si="8"/>
        <v>-427182.21</v>
      </c>
      <c r="AE12" s="12">
        <f t="shared" si="9"/>
        <v>0</v>
      </c>
      <c r="AF12" s="52">
        <f t="shared" si="3"/>
        <v>-435182.21</v>
      </c>
      <c r="AG12" s="52">
        <f t="shared" si="4"/>
        <v>-5339.7776249999997</v>
      </c>
      <c r="AH12" s="12">
        <f t="shared" si="5"/>
        <v>-435182.21</v>
      </c>
      <c r="AI12" s="52">
        <f t="shared" si="13"/>
        <v>-5339.7776250000006</v>
      </c>
      <c r="AJ12" s="12" t="e">
        <f>AD12-#REF!</f>
        <v>#REF!</v>
      </c>
      <c r="AK12" s="12" t="e">
        <f>IF(#REF!=0,0,AD12/#REF!*100)</f>
        <v>#REF!</v>
      </c>
      <c r="AL12" s="52">
        <f t="shared" si="10"/>
        <v>-427182.21</v>
      </c>
      <c r="AM12" s="52">
        <v>0</v>
      </c>
      <c r="AN12" s="12">
        <f t="shared" si="12"/>
        <v>-474133.35000000003</v>
      </c>
      <c r="AO12" s="52">
        <f t="shared" si="14"/>
        <v>-909.84416991791898</v>
      </c>
      <c r="AP12" s="12">
        <f t="shared" si="15"/>
        <v>-5841861.0700000003</v>
      </c>
      <c r="AQ12" s="12">
        <f t="shared" si="16"/>
        <v>-7.8893360261073724</v>
      </c>
      <c r="AR12" s="40">
        <f>AD12</f>
        <v>-427182.21</v>
      </c>
    </row>
    <row r="13" spans="1:44" s="10" customFormat="1" ht="30.75" customHeight="1" x14ac:dyDescent="0.3">
      <c r="A13" s="9"/>
      <c r="B13" s="100" t="s">
        <v>24</v>
      </c>
      <c r="C13" s="100"/>
      <c r="D13" s="100"/>
      <c r="E13" s="100"/>
      <c r="F13" s="100"/>
      <c r="G13" s="100"/>
      <c r="H13" s="100"/>
      <c r="I13" s="100"/>
      <c r="J13" s="12">
        <v>11042346.74</v>
      </c>
      <c r="K13" s="12">
        <f>J13</f>
        <v>11042346.74</v>
      </c>
      <c r="L13" s="12">
        <v>3567077.86</v>
      </c>
      <c r="M13" s="12">
        <f>L13</f>
        <v>3567077.86</v>
      </c>
      <c r="N13" s="12">
        <v>12675114.5</v>
      </c>
      <c r="O13" s="12">
        <v>12731516.73</v>
      </c>
      <c r="P13" s="12">
        <f>O13</f>
        <v>12731516.73</v>
      </c>
      <c r="Q13" s="12">
        <v>12731516.73</v>
      </c>
      <c r="R13" s="12">
        <f>Q13</f>
        <v>12731516.73</v>
      </c>
      <c r="S13" s="12">
        <v>5292297</v>
      </c>
      <c r="T13" s="12">
        <v>5296262.9000000004</v>
      </c>
      <c r="U13" s="12">
        <f>T13</f>
        <v>5296262.9000000004</v>
      </c>
      <c r="V13" s="12">
        <v>258190.41</v>
      </c>
      <c r="W13" s="12">
        <f>V13</f>
        <v>258190.41</v>
      </c>
      <c r="X13" s="12">
        <v>5814000</v>
      </c>
      <c r="Y13" s="12">
        <v>5814000</v>
      </c>
      <c r="Z13" s="12">
        <v>436389.11</v>
      </c>
      <c r="AA13" s="12">
        <v>0</v>
      </c>
      <c r="AB13" s="12">
        <v>0</v>
      </c>
      <c r="AC13" s="12">
        <v>399471.8</v>
      </c>
      <c r="AD13" s="12">
        <f t="shared" si="8"/>
        <v>399471.8</v>
      </c>
      <c r="AE13" s="12">
        <f t="shared" si="9"/>
        <v>0</v>
      </c>
      <c r="AF13" s="52">
        <f t="shared" si="3"/>
        <v>-5414528.2000000002</v>
      </c>
      <c r="AG13" s="52">
        <f t="shared" si="4"/>
        <v>6.870859993120054</v>
      </c>
      <c r="AH13" s="12">
        <f t="shared" si="5"/>
        <v>-5414528.2000000002</v>
      </c>
      <c r="AI13" s="52">
        <f t="shared" si="13"/>
        <v>6.8708599931200549</v>
      </c>
      <c r="AJ13" s="12" t="e">
        <f>AD13-#REF!</f>
        <v>#REF!</v>
      </c>
      <c r="AK13" s="12" t="e">
        <f>IF(#REF!=0,0,AD13/#REF!*100)</f>
        <v>#REF!</v>
      </c>
      <c r="AL13" s="52">
        <f t="shared" si="10"/>
        <v>-36917.31</v>
      </c>
      <c r="AM13" s="52">
        <f t="shared" si="11"/>
        <v>91.540276978955788</v>
      </c>
      <c r="AN13" s="12">
        <f t="shared" si="12"/>
        <v>141281.38999999998</v>
      </c>
      <c r="AO13" s="52">
        <f t="shared" si="14"/>
        <v>154.71984416462251</v>
      </c>
      <c r="AP13" s="12">
        <f t="shared" si="15"/>
        <v>-3167606.06</v>
      </c>
      <c r="AQ13" s="12">
        <f t="shared" si="16"/>
        <v>11.198852833562764</v>
      </c>
      <c r="AR13" s="40">
        <f>AD13</f>
        <v>399471.8</v>
      </c>
    </row>
    <row r="14" spans="1:44" s="10" customFormat="1" ht="42.75" customHeight="1" x14ac:dyDescent="0.3">
      <c r="A14" s="9"/>
      <c r="B14" s="100" t="s">
        <v>23</v>
      </c>
      <c r="C14" s="100"/>
      <c r="D14" s="100"/>
      <c r="E14" s="100"/>
      <c r="F14" s="100"/>
      <c r="G14" s="100"/>
      <c r="H14" s="100"/>
      <c r="I14" s="100"/>
      <c r="J14" s="12">
        <v>199821.72</v>
      </c>
      <c r="K14" s="12">
        <f t="shared" ref="K14" si="21">J14</f>
        <v>199821.72</v>
      </c>
      <c r="L14" s="12">
        <v>141824.35999999999</v>
      </c>
      <c r="M14" s="12">
        <f t="shared" ref="M14" si="22">L14</f>
        <v>141824.35999999999</v>
      </c>
      <c r="N14" s="12">
        <v>4514274.29</v>
      </c>
      <c r="O14" s="12">
        <v>6011745.4100000001</v>
      </c>
      <c r="P14" s="12">
        <f t="shared" si="19"/>
        <v>6011745.4100000001</v>
      </c>
      <c r="Q14" s="12">
        <v>6011745.4100000001</v>
      </c>
      <c r="R14" s="12">
        <f t="shared" ref="R14" si="23">Q14</f>
        <v>6011745.4100000001</v>
      </c>
      <c r="S14" s="12">
        <v>5191300</v>
      </c>
      <c r="T14" s="12">
        <v>7445903.21</v>
      </c>
      <c r="U14" s="12">
        <f t="shared" si="20"/>
        <v>7445903.21</v>
      </c>
      <c r="V14" s="12">
        <v>615213.11</v>
      </c>
      <c r="W14" s="12">
        <f t="shared" si="20"/>
        <v>615213.11</v>
      </c>
      <c r="X14" s="12">
        <v>8168000</v>
      </c>
      <c r="Y14" s="12">
        <v>8168000</v>
      </c>
      <c r="Z14" s="12">
        <v>1070302.5900000001</v>
      </c>
      <c r="AA14" s="12">
        <v>35419.589999999997</v>
      </c>
      <c r="AB14" s="12">
        <v>0</v>
      </c>
      <c r="AC14" s="12">
        <v>-182136.38999999987</v>
      </c>
      <c r="AD14" s="12">
        <f t="shared" si="8"/>
        <v>-182136.38999999987</v>
      </c>
      <c r="AE14" s="12">
        <f t="shared" si="9"/>
        <v>-35419.589999999997</v>
      </c>
      <c r="AF14" s="52">
        <f t="shared" si="3"/>
        <v>-8350136.3899999997</v>
      </c>
      <c r="AG14" s="52">
        <f t="shared" si="4"/>
        <v>-2.2298774485798223</v>
      </c>
      <c r="AH14" s="12">
        <f t="shared" si="5"/>
        <v>-8350136.3899999997</v>
      </c>
      <c r="AI14" s="52">
        <f t="shared" si="13"/>
        <v>-2.2298774485798223</v>
      </c>
      <c r="AJ14" s="12" t="e">
        <f>AD14-#REF!</f>
        <v>#REF!</v>
      </c>
      <c r="AK14" s="12" t="e">
        <f>IF(#REF!=0,0,AD14/#REF!*100)</f>
        <v>#REF!</v>
      </c>
      <c r="AL14" s="52">
        <f t="shared" si="10"/>
        <v>-1252438.98</v>
      </c>
      <c r="AM14" s="52">
        <f t="shared" si="11"/>
        <v>-17.017280131967151</v>
      </c>
      <c r="AN14" s="12">
        <f t="shared" si="12"/>
        <v>-797349.49999999988</v>
      </c>
      <c r="AO14" s="52">
        <f t="shared" si="14"/>
        <v>-29.60541429294312</v>
      </c>
      <c r="AP14" s="12">
        <f t="shared" si="15"/>
        <v>-323960.74999999988</v>
      </c>
      <c r="AQ14" s="12">
        <f t="shared" si="16"/>
        <v>-128.42391109679599</v>
      </c>
      <c r="AR14" s="40">
        <f>AD14</f>
        <v>-182136.38999999987</v>
      </c>
    </row>
    <row r="15" spans="1:44" s="10" customFormat="1" ht="26.25" customHeight="1" x14ac:dyDescent="0.3">
      <c r="A15" s="9"/>
      <c r="B15" s="100" t="s">
        <v>22</v>
      </c>
      <c r="C15" s="100"/>
      <c r="D15" s="100"/>
      <c r="E15" s="100"/>
      <c r="F15" s="100"/>
      <c r="G15" s="100"/>
      <c r="H15" s="100"/>
      <c r="I15" s="100"/>
      <c r="J15" s="12">
        <v>12135551.99</v>
      </c>
      <c r="K15" s="12">
        <f>J15</f>
        <v>12135551.99</v>
      </c>
      <c r="L15" s="12">
        <v>1160678.8899999999</v>
      </c>
      <c r="M15" s="12">
        <f>L15</f>
        <v>1160678.8899999999</v>
      </c>
      <c r="N15" s="12">
        <v>10267000</v>
      </c>
      <c r="O15" s="12">
        <v>10646674.66</v>
      </c>
      <c r="P15" s="12">
        <f>O15</f>
        <v>10646674.66</v>
      </c>
      <c r="Q15" s="12">
        <v>10646674.66</v>
      </c>
      <c r="R15" s="12">
        <f>Q15</f>
        <v>10646674.66</v>
      </c>
      <c r="S15" s="12">
        <v>10337374.24</v>
      </c>
      <c r="T15" s="12">
        <v>11630065.210000001</v>
      </c>
      <c r="U15" s="12">
        <f>T15</f>
        <v>11630065.210000001</v>
      </c>
      <c r="V15" s="12">
        <v>668310.5</v>
      </c>
      <c r="W15" s="12">
        <f>V15</f>
        <v>668310.5</v>
      </c>
      <c r="X15" s="12">
        <v>15443000</v>
      </c>
      <c r="Y15" s="12">
        <v>15443000</v>
      </c>
      <c r="Z15" s="12">
        <v>988816.93</v>
      </c>
      <c r="AA15" s="12">
        <v>20099.45</v>
      </c>
      <c r="AB15" s="12">
        <v>0</v>
      </c>
      <c r="AC15" s="12">
        <v>-296127.37</v>
      </c>
      <c r="AD15" s="12">
        <f t="shared" si="8"/>
        <v>-296127.37</v>
      </c>
      <c r="AE15" s="12">
        <f t="shared" si="9"/>
        <v>-20099.45</v>
      </c>
      <c r="AF15" s="52">
        <f t="shared" si="3"/>
        <v>-15739127.369999999</v>
      </c>
      <c r="AG15" s="52">
        <f t="shared" si="4"/>
        <v>-1.9175507997150811</v>
      </c>
      <c r="AH15" s="12">
        <f t="shared" si="5"/>
        <v>-15739127.369999999</v>
      </c>
      <c r="AI15" s="52">
        <f t="shared" si="13"/>
        <v>-1.9175507997150811</v>
      </c>
      <c r="AJ15" s="12" t="e">
        <f>AD15-#REF!</f>
        <v>#REF!</v>
      </c>
      <c r="AK15" s="12" t="e">
        <f>IF(#REF!=0,0,AD15/#REF!*100)</f>
        <v>#REF!</v>
      </c>
      <c r="AL15" s="52">
        <f t="shared" si="10"/>
        <v>-1284944.3</v>
      </c>
      <c r="AM15" s="52">
        <f t="shared" si="11"/>
        <v>-29.947643594654068</v>
      </c>
      <c r="AN15" s="12">
        <f t="shared" si="12"/>
        <v>-964437.87</v>
      </c>
      <c r="AO15" s="52">
        <f t="shared" si="14"/>
        <v>-44.309848491083116</v>
      </c>
      <c r="AP15" s="12">
        <f t="shared" si="15"/>
        <v>-1456806.2599999998</v>
      </c>
      <c r="AQ15" s="12">
        <f t="shared" si="16"/>
        <v>-25.513289898810861</v>
      </c>
      <c r="AR15" s="40">
        <v>11117000</v>
      </c>
    </row>
    <row r="16" spans="1:44" s="10" customFormat="1" ht="18.75" x14ac:dyDescent="0.3">
      <c r="A16" s="9"/>
      <c r="B16" s="100" t="s">
        <v>20</v>
      </c>
      <c r="C16" s="100"/>
      <c r="D16" s="100"/>
      <c r="E16" s="100"/>
      <c r="F16" s="100"/>
      <c r="G16" s="100"/>
      <c r="H16" s="100"/>
      <c r="I16" s="100"/>
      <c r="J16" s="12">
        <f t="shared" ref="J16:AB16" si="24">J17+J18</f>
        <v>59077329.089999996</v>
      </c>
      <c r="K16" s="12">
        <f t="shared" si="24"/>
        <v>59077329.089999996</v>
      </c>
      <c r="L16" s="12">
        <f t="shared" si="24"/>
        <v>13651268.75</v>
      </c>
      <c r="M16" s="12">
        <f t="shared" si="24"/>
        <v>13651268.75</v>
      </c>
      <c r="N16" s="12">
        <f t="shared" si="24"/>
        <v>57000020</v>
      </c>
      <c r="O16" s="12">
        <f t="shared" si="24"/>
        <v>59153838.839999996</v>
      </c>
      <c r="P16" s="12">
        <f t="shared" si="24"/>
        <v>59153838.839999996</v>
      </c>
      <c r="Q16" s="12">
        <v>59153838.839999996</v>
      </c>
      <c r="R16" s="12">
        <f t="shared" si="24"/>
        <v>59153838.839999996</v>
      </c>
      <c r="S16" s="12">
        <f t="shared" ref="S16" si="25">S17+S18</f>
        <v>54827104.629999995</v>
      </c>
      <c r="T16" s="12">
        <f>T17+T18</f>
        <v>56910468.460000008</v>
      </c>
      <c r="U16" s="12">
        <f t="shared" ref="U16:V16" si="26">U17+U18</f>
        <v>56910468.460000008</v>
      </c>
      <c r="V16" s="12">
        <f t="shared" si="26"/>
        <v>4178026.99</v>
      </c>
      <c r="W16" s="12">
        <f t="shared" ref="W16:X16" si="27">W17+W18</f>
        <v>4178026.99</v>
      </c>
      <c r="X16" s="12">
        <f t="shared" si="27"/>
        <v>57489000</v>
      </c>
      <c r="Y16" s="12">
        <f t="shared" si="24"/>
        <v>57489000</v>
      </c>
      <c r="Z16" s="12">
        <f t="shared" si="24"/>
        <v>6176081.5</v>
      </c>
      <c r="AA16" s="12">
        <f t="shared" ref="AA16" si="28">AA17+AA18</f>
        <v>90311.27</v>
      </c>
      <c r="AB16" s="12">
        <f t="shared" si="24"/>
        <v>0</v>
      </c>
      <c r="AC16" s="12">
        <v>-1458033.5</v>
      </c>
      <c r="AD16" s="12">
        <f t="shared" si="8"/>
        <v>-1458033.5</v>
      </c>
      <c r="AE16" s="12">
        <f t="shared" si="9"/>
        <v>-90311.27</v>
      </c>
      <c r="AF16" s="52">
        <f t="shared" si="3"/>
        <v>-58947033.5</v>
      </c>
      <c r="AG16" s="52">
        <f t="shared" si="4"/>
        <v>-2.5361956200316582</v>
      </c>
      <c r="AH16" s="12">
        <f t="shared" si="5"/>
        <v>-58947033.5</v>
      </c>
      <c r="AI16" s="52">
        <f t="shared" si="13"/>
        <v>-2.5361956200316582</v>
      </c>
      <c r="AJ16" s="12" t="e">
        <f>AD16-#REF!</f>
        <v>#REF!</v>
      </c>
      <c r="AK16" s="12" t="e">
        <f>IF(#REF!=0,0,AD16/#REF!*100)</f>
        <v>#REF!</v>
      </c>
      <c r="AL16" s="52">
        <f t="shared" si="10"/>
        <v>-7634115</v>
      </c>
      <c r="AM16" s="52">
        <f t="shared" si="11"/>
        <v>-23.607743842110892</v>
      </c>
      <c r="AN16" s="12">
        <f t="shared" si="12"/>
        <v>-5636060.4900000002</v>
      </c>
      <c r="AO16" s="52">
        <f t="shared" si="14"/>
        <v>-34.897656321746261</v>
      </c>
      <c r="AP16" s="12">
        <f t="shared" si="15"/>
        <v>-15109302.25</v>
      </c>
      <c r="AQ16" s="12">
        <f t="shared" si="16"/>
        <v>-10.680571357149496</v>
      </c>
      <c r="AR16" s="40">
        <f>AR17+AR18</f>
        <v>-1458033.5</v>
      </c>
    </row>
    <row r="17" spans="1:44" s="5" customFormat="1" ht="64.5" customHeight="1" x14ac:dyDescent="0.3">
      <c r="A17" s="4"/>
      <c r="B17" s="47"/>
      <c r="C17" s="47"/>
      <c r="D17" s="47"/>
      <c r="E17" s="47"/>
      <c r="F17" s="47"/>
      <c r="G17" s="47"/>
      <c r="H17" s="47"/>
      <c r="I17" s="64" t="s">
        <v>36</v>
      </c>
      <c r="J17" s="13">
        <v>22311739.960000001</v>
      </c>
      <c r="K17" s="13">
        <f>J17</f>
        <v>22311739.960000001</v>
      </c>
      <c r="L17" s="13">
        <v>10085616.51</v>
      </c>
      <c r="M17" s="13">
        <f>L17</f>
        <v>10085616.51</v>
      </c>
      <c r="N17" s="13">
        <v>24357548.02</v>
      </c>
      <c r="O17" s="13">
        <v>25159321.25</v>
      </c>
      <c r="P17" s="13">
        <f>O17</f>
        <v>25159321.25</v>
      </c>
      <c r="Q17" s="49">
        <v>25159321.25</v>
      </c>
      <c r="R17" s="13">
        <f>Q17</f>
        <v>25159321.25</v>
      </c>
      <c r="S17" s="61">
        <v>22374391.359999999</v>
      </c>
      <c r="T17" s="13">
        <v>22769251.010000002</v>
      </c>
      <c r="U17" s="13">
        <f>T17</f>
        <v>22769251.010000002</v>
      </c>
      <c r="V17" s="61">
        <f>2276379.43-291885.29+3744.12+1713.88</f>
        <v>1989952.1400000001</v>
      </c>
      <c r="W17" s="13">
        <f>V17</f>
        <v>1989952.1400000001</v>
      </c>
      <c r="X17" s="82">
        <v>23363753.050000001</v>
      </c>
      <c r="Y17" s="82">
        <v>23363753.050000001</v>
      </c>
      <c r="Z17" s="17">
        <v>3613662.44</v>
      </c>
      <c r="AA17" s="13">
        <v>0</v>
      </c>
      <c r="AB17" s="13">
        <v>0</v>
      </c>
      <c r="AC17" s="13">
        <v>15995.58</v>
      </c>
      <c r="AD17" s="13">
        <f t="shared" si="8"/>
        <v>15995.58</v>
      </c>
      <c r="AE17" s="13">
        <f t="shared" si="9"/>
        <v>0</v>
      </c>
      <c r="AF17" s="52">
        <f t="shared" si="3"/>
        <v>-23347757.470000003</v>
      </c>
      <c r="AG17" s="52">
        <f t="shared" si="4"/>
        <v>6.8463230054556665E-2</v>
      </c>
      <c r="AH17" s="13">
        <f t="shared" si="5"/>
        <v>-23347757.470000003</v>
      </c>
      <c r="AI17" s="52">
        <f t="shared" si="13"/>
        <v>6.8463230054556665E-2</v>
      </c>
      <c r="AJ17" s="13" t="e">
        <f>AD17-#REF!</f>
        <v>#REF!</v>
      </c>
      <c r="AK17" s="13" t="e">
        <f>IF(#REF!=0,0,AD17/#REF!*100)</f>
        <v>#REF!</v>
      </c>
      <c r="AL17" s="52">
        <f t="shared" si="10"/>
        <v>-3597666.86</v>
      </c>
      <c r="AM17" s="52">
        <f t="shared" si="11"/>
        <v>0.44264178698439799</v>
      </c>
      <c r="AN17" s="13">
        <f t="shared" si="12"/>
        <v>-1973956.56</v>
      </c>
      <c r="AO17" s="52">
        <f t="shared" si="14"/>
        <v>0.80381732195830591</v>
      </c>
      <c r="AP17" s="13">
        <f t="shared" si="15"/>
        <v>-10069620.93</v>
      </c>
      <c r="AQ17" s="13">
        <f t="shared" si="16"/>
        <v>0.15859793979019732</v>
      </c>
      <c r="AR17" s="37">
        <f>AD17</f>
        <v>15995.58</v>
      </c>
    </row>
    <row r="18" spans="1:44" s="5" customFormat="1" ht="63.75" customHeight="1" x14ac:dyDescent="0.3">
      <c r="A18" s="4"/>
      <c r="B18" s="47" t="s">
        <v>8</v>
      </c>
      <c r="C18" s="47" t="s">
        <v>21</v>
      </c>
      <c r="D18" s="47" t="s">
        <v>20</v>
      </c>
      <c r="E18" s="47"/>
      <c r="F18" s="47"/>
      <c r="G18" s="6"/>
      <c r="H18" s="6"/>
      <c r="I18" s="64" t="s">
        <v>37</v>
      </c>
      <c r="J18" s="13">
        <v>36765589.129999995</v>
      </c>
      <c r="K18" s="13">
        <f>J18</f>
        <v>36765589.129999995</v>
      </c>
      <c r="L18" s="13">
        <v>3565652.24</v>
      </c>
      <c r="M18" s="13">
        <f>L18</f>
        <v>3565652.24</v>
      </c>
      <c r="N18" s="13">
        <v>32642471.98</v>
      </c>
      <c r="O18" s="13">
        <v>33994517.589999996</v>
      </c>
      <c r="P18" s="13">
        <f>O18</f>
        <v>33994517.589999996</v>
      </c>
      <c r="Q18" s="13">
        <v>33994517.589999996</v>
      </c>
      <c r="R18" s="13">
        <f>Q18</f>
        <v>33994517.589999996</v>
      </c>
      <c r="S18" s="61">
        <v>32452713.27</v>
      </c>
      <c r="T18" s="13">
        <v>34141217.450000003</v>
      </c>
      <c r="U18" s="13">
        <f>T18</f>
        <v>34141217.450000003</v>
      </c>
      <c r="V18" s="61">
        <f>2159215.6+28859.25</f>
        <v>2188074.85</v>
      </c>
      <c r="W18" s="13">
        <f>V18</f>
        <v>2188074.85</v>
      </c>
      <c r="X18" s="82">
        <v>34125246.950000003</v>
      </c>
      <c r="Y18" s="82">
        <v>34125246.950000003</v>
      </c>
      <c r="Z18" s="17">
        <v>2562419.06</v>
      </c>
      <c r="AA18" s="13">
        <v>90311.27</v>
      </c>
      <c r="AB18" s="13">
        <v>0</v>
      </c>
      <c r="AC18" s="13">
        <v>-1474029.08</v>
      </c>
      <c r="AD18" s="13">
        <f t="shared" si="8"/>
        <v>-1474029.08</v>
      </c>
      <c r="AE18" s="13">
        <f t="shared" si="9"/>
        <v>-90311.27</v>
      </c>
      <c r="AF18" s="52">
        <f t="shared" si="3"/>
        <v>-35599276.030000001</v>
      </c>
      <c r="AG18" s="52">
        <f t="shared" si="4"/>
        <v>-4.3194678771401529</v>
      </c>
      <c r="AH18" s="13">
        <f t="shared" si="5"/>
        <v>-35599276.030000001</v>
      </c>
      <c r="AI18" s="52">
        <f t="shared" si="13"/>
        <v>-4.3194678771401538</v>
      </c>
      <c r="AJ18" s="13" t="e">
        <f>AD18-#REF!</f>
        <v>#REF!</v>
      </c>
      <c r="AK18" s="13" t="e">
        <f>IF(#REF!=0,0,AD18/#REF!*100)</f>
        <v>#REF!</v>
      </c>
      <c r="AL18" s="52">
        <f t="shared" si="10"/>
        <v>-4036448.14</v>
      </c>
      <c r="AM18" s="52">
        <f t="shared" si="11"/>
        <v>-57.524903050010877</v>
      </c>
      <c r="AN18" s="13">
        <f t="shared" si="12"/>
        <v>-3662103.93</v>
      </c>
      <c r="AO18" s="52">
        <f t="shared" si="14"/>
        <v>-67.366483372358118</v>
      </c>
      <c r="AP18" s="13">
        <f t="shared" si="15"/>
        <v>-5039681.32</v>
      </c>
      <c r="AQ18" s="13">
        <f t="shared" si="16"/>
        <v>-41.339675907373405</v>
      </c>
      <c r="AR18" s="37">
        <f>AD18</f>
        <v>-1474029.08</v>
      </c>
    </row>
    <row r="19" spans="1:44" s="10" customFormat="1" ht="29.25" customHeight="1" x14ac:dyDescent="0.3">
      <c r="A19" s="9"/>
      <c r="B19" s="100" t="s">
        <v>19</v>
      </c>
      <c r="C19" s="100"/>
      <c r="D19" s="100"/>
      <c r="E19" s="100"/>
      <c r="F19" s="100"/>
      <c r="G19" s="100"/>
      <c r="H19" s="100"/>
      <c r="I19" s="100"/>
      <c r="J19" s="12">
        <v>7183566.0899999999</v>
      </c>
      <c r="K19" s="12">
        <f>J19</f>
        <v>7183566.0899999999</v>
      </c>
      <c r="L19" s="12">
        <v>3074019.46</v>
      </c>
      <c r="M19" s="12">
        <f>L19</f>
        <v>3074019.46</v>
      </c>
      <c r="N19" s="12">
        <v>6803299.9900000002</v>
      </c>
      <c r="O19" s="12">
        <v>7312231.8200000003</v>
      </c>
      <c r="P19" s="12">
        <f>O19</f>
        <v>7312231.8200000003</v>
      </c>
      <c r="Q19" s="12">
        <v>7312231.8200000003</v>
      </c>
      <c r="R19" s="12">
        <f>Q19</f>
        <v>7312231.8200000003</v>
      </c>
      <c r="S19" s="12">
        <v>6908000</v>
      </c>
      <c r="T19" s="12">
        <v>7412267.6299999999</v>
      </c>
      <c r="U19" s="12">
        <f>T19</f>
        <v>7412267.6299999999</v>
      </c>
      <c r="V19" s="12">
        <v>895882.66</v>
      </c>
      <c r="W19" s="12">
        <f>V19</f>
        <v>895882.66</v>
      </c>
      <c r="X19" s="12">
        <v>7706000</v>
      </c>
      <c r="Y19" s="12">
        <v>7706000</v>
      </c>
      <c r="Z19" s="12">
        <v>1060265.3799999999</v>
      </c>
      <c r="AA19" s="12">
        <v>168206.01</v>
      </c>
      <c r="AB19" s="12">
        <v>114563.54</v>
      </c>
      <c r="AC19" s="12">
        <v>541483.93000000005</v>
      </c>
      <c r="AD19" s="12">
        <f t="shared" si="8"/>
        <v>656047.47000000009</v>
      </c>
      <c r="AE19" s="12">
        <f t="shared" si="9"/>
        <v>-53642.470000000016</v>
      </c>
      <c r="AF19" s="52">
        <f t="shared" si="3"/>
        <v>-7049952.5300000003</v>
      </c>
      <c r="AG19" s="52">
        <f t="shared" si="4"/>
        <v>8.5134631456008325</v>
      </c>
      <c r="AH19" s="12">
        <f t="shared" si="5"/>
        <v>-7049952.5300000003</v>
      </c>
      <c r="AI19" s="52">
        <f t="shared" si="13"/>
        <v>8.5134631456008325</v>
      </c>
      <c r="AJ19" s="12" t="e">
        <f>AD19-#REF!</f>
        <v>#REF!</v>
      </c>
      <c r="AK19" s="12" t="e">
        <f>IF(#REF!=0,0,AD19/#REF!*100)</f>
        <v>#REF!</v>
      </c>
      <c r="AL19" s="52">
        <f t="shared" si="10"/>
        <v>-404217.9099999998</v>
      </c>
      <c r="AM19" s="52">
        <f t="shared" si="11"/>
        <v>61.875779627926754</v>
      </c>
      <c r="AN19" s="12">
        <f t="shared" si="12"/>
        <v>-239835.18999999994</v>
      </c>
      <c r="AO19" s="52">
        <f t="shared" si="14"/>
        <v>73.229173784879379</v>
      </c>
      <c r="AP19" s="12">
        <f t="shared" si="15"/>
        <v>-2417971.9899999998</v>
      </c>
      <c r="AQ19" s="12">
        <f t="shared" si="16"/>
        <v>21.341682397807595</v>
      </c>
      <c r="AR19" s="40">
        <f>AD19</f>
        <v>656047.47000000009</v>
      </c>
    </row>
    <row r="20" spans="1:44" s="10" customFormat="1" ht="62.25" customHeight="1" x14ac:dyDescent="0.3">
      <c r="A20" s="9"/>
      <c r="B20" s="106" t="s">
        <v>63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7"/>
      <c r="N20" s="12"/>
      <c r="O20" s="12"/>
      <c r="P20" s="12">
        <v>0</v>
      </c>
      <c r="Q20" s="12"/>
      <c r="R20" s="12">
        <v>0</v>
      </c>
      <c r="S20" s="12">
        <v>0</v>
      </c>
      <c r="T20" s="12">
        <v>-18.84</v>
      </c>
      <c r="U20" s="12">
        <f>T20</f>
        <v>-18.84</v>
      </c>
      <c r="V20" s="12">
        <v>0</v>
      </c>
      <c r="W20" s="12">
        <f>V20</f>
        <v>0</v>
      </c>
      <c r="X20" s="12">
        <v>0</v>
      </c>
      <c r="Y20" s="12">
        <v>0</v>
      </c>
      <c r="Z20" s="12">
        <v>0</v>
      </c>
      <c r="AA20" s="12">
        <v>0</v>
      </c>
      <c r="AB20" s="12"/>
      <c r="AC20" s="12">
        <v>0</v>
      </c>
      <c r="AD20" s="12">
        <f t="shared" si="8"/>
        <v>0</v>
      </c>
      <c r="AE20" s="12">
        <v>0</v>
      </c>
      <c r="AF20" s="52">
        <f t="shared" si="3"/>
        <v>0</v>
      </c>
      <c r="AG20" s="52">
        <v>0</v>
      </c>
      <c r="AH20" s="12">
        <f t="shared" si="5"/>
        <v>0</v>
      </c>
      <c r="AI20" s="52">
        <v>0</v>
      </c>
      <c r="AJ20" s="12"/>
      <c r="AK20" s="12"/>
      <c r="AL20" s="52">
        <f t="shared" si="10"/>
        <v>0</v>
      </c>
      <c r="AM20" s="52">
        <v>0</v>
      </c>
      <c r="AN20" s="12">
        <f t="shared" si="12"/>
        <v>0</v>
      </c>
      <c r="AO20" s="52">
        <v>0</v>
      </c>
      <c r="AP20" s="12"/>
      <c r="AQ20" s="12"/>
      <c r="AR20" s="40"/>
    </row>
    <row r="21" spans="1:44" s="10" customFormat="1" ht="83.25" customHeight="1" x14ac:dyDescent="0.3">
      <c r="A21" s="9"/>
      <c r="B21" s="100" t="s">
        <v>17</v>
      </c>
      <c r="C21" s="100"/>
      <c r="D21" s="100"/>
      <c r="E21" s="100"/>
      <c r="F21" s="100"/>
      <c r="G21" s="100"/>
      <c r="H21" s="100"/>
      <c r="I21" s="100"/>
      <c r="J21" s="68">
        <f t="shared" ref="J21:AB21" si="29">J22+J25+J27+J29</f>
        <v>39449619.330000006</v>
      </c>
      <c r="K21" s="68">
        <f t="shared" si="29"/>
        <v>39449619.330000006</v>
      </c>
      <c r="L21" s="68">
        <f t="shared" si="29"/>
        <v>10238465.989999998</v>
      </c>
      <c r="M21" s="68">
        <f t="shared" si="29"/>
        <v>10238465.989999998</v>
      </c>
      <c r="N21" s="12">
        <f t="shared" si="29"/>
        <v>42188190.339999996</v>
      </c>
      <c r="O21" s="12">
        <f t="shared" si="29"/>
        <v>49536681.379999995</v>
      </c>
      <c r="P21" s="12">
        <f t="shared" si="29"/>
        <v>49536681.379999988</v>
      </c>
      <c r="Q21" s="12">
        <v>49536681.379999995</v>
      </c>
      <c r="R21" s="12">
        <f>R22+R25+R27+R29</f>
        <v>49536681.379999995</v>
      </c>
      <c r="S21" s="12">
        <f t="shared" ref="S21" si="30">S22+S25+S27+S29</f>
        <v>44769945.039999999</v>
      </c>
      <c r="T21" s="12">
        <f>T22+T25+T27+T29</f>
        <v>46932434.269999996</v>
      </c>
      <c r="U21" s="12">
        <f>U22+U25+U27+U29</f>
        <v>46932434.269999996</v>
      </c>
      <c r="V21" s="12">
        <f t="shared" ref="V21" si="31">V22+V25+V27+V29</f>
        <v>2036621.3599999999</v>
      </c>
      <c r="W21" s="12">
        <f>W22+W25+W27+W29</f>
        <v>2036621.3599999999</v>
      </c>
      <c r="X21" s="12">
        <f t="shared" ref="X21" si="32">X22+X25+X27+X29</f>
        <v>47029000</v>
      </c>
      <c r="Y21" s="12">
        <f t="shared" si="29"/>
        <v>47029000</v>
      </c>
      <c r="Z21" s="12">
        <f t="shared" si="29"/>
        <v>282544.82</v>
      </c>
      <c r="AA21" s="12">
        <f t="shared" ref="AA21" si="33">AA22+AA25+AA27+AA29</f>
        <v>284297.73</v>
      </c>
      <c r="AB21" s="12">
        <f t="shared" si="29"/>
        <v>159447.84999999998</v>
      </c>
      <c r="AC21" s="12">
        <v>1478166.96</v>
      </c>
      <c r="AD21" s="12">
        <f t="shared" si="8"/>
        <v>1637614.81</v>
      </c>
      <c r="AE21" s="12">
        <f t="shared" si="9"/>
        <v>-124849.88</v>
      </c>
      <c r="AF21" s="52">
        <f t="shared" si="3"/>
        <v>-45391385.189999998</v>
      </c>
      <c r="AG21" s="52">
        <f t="shared" si="4"/>
        <v>3.4821382763826576</v>
      </c>
      <c r="AH21" s="12">
        <f t="shared" si="5"/>
        <v>-45391385.189999998</v>
      </c>
      <c r="AI21" s="52">
        <f t="shared" si="13"/>
        <v>3.4821382763826576</v>
      </c>
      <c r="AJ21" s="12" t="e">
        <f>AD21-#REF!</f>
        <v>#REF!</v>
      </c>
      <c r="AK21" s="12" t="e">
        <f>IF(#REF!=0,0,AD21/#REF!*100)</f>
        <v>#REF!</v>
      </c>
      <c r="AL21" s="52">
        <f t="shared" si="10"/>
        <v>1355069.99</v>
      </c>
      <c r="AM21" s="52">
        <f t="shared" si="11"/>
        <v>579.59470288643058</v>
      </c>
      <c r="AN21" s="12">
        <f t="shared" si="12"/>
        <v>-399006.54999999981</v>
      </c>
      <c r="AO21" s="52">
        <f t="shared" si="14"/>
        <v>80.408407874107738</v>
      </c>
      <c r="AP21" s="12">
        <f>AD21-M21</f>
        <v>-8600851.1799999978</v>
      </c>
      <c r="AQ21" s="12">
        <f>IF(M21=0,0,AD21/M21*100)</f>
        <v>15.994728229790217</v>
      </c>
      <c r="AR21" s="40">
        <f>AR22+AR25+AR27+AR29</f>
        <v>1637614.81</v>
      </c>
    </row>
    <row r="22" spans="1:44" s="5" customFormat="1" ht="114.75" customHeight="1" x14ac:dyDescent="0.3">
      <c r="A22" s="4"/>
      <c r="B22" s="47"/>
      <c r="C22" s="47"/>
      <c r="D22" s="47"/>
      <c r="E22" s="47"/>
      <c r="F22" s="47"/>
      <c r="G22" s="47"/>
      <c r="H22" s="47"/>
      <c r="I22" s="64" t="s">
        <v>18</v>
      </c>
      <c r="J22" s="13">
        <v>38437093.690000005</v>
      </c>
      <c r="K22" s="13">
        <f>J22</f>
        <v>38437093.690000005</v>
      </c>
      <c r="L22" s="13">
        <v>9868144.6099999994</v>
      </c>
      <c r="M22" s="13">
        <f>L22</f>
        <v>9868144.6099999994</v>
      </c>
      <c r="N22" s="19">
        <v>41197224.380000003</v>
      </c>
      <c r="O22" s="13">
        <v>47695088.119999997</v>
      </c>
      <c r="P22" s="13">
        <f>P23+P24</f>
        <v>47792284.159999996</v>
      </c>
      <c r="Q22" s="13">
        <v>47695088.119999997</v>
      </c>
      <c r="R22" s="13">
        <f>Q22</f>
        <v>47695088.119999997</v>
      </c>
      <c r="S22" s="13">
        <f t="shared" ref="S22:Z22" si="34">S23+S24</f>
        <v>42050829.689999998</v>
      </c>
      <c r="T22" s="13">
        <f t="shared" si="34"/>
        <v>44043460.589999996</v>
      </c>
      <c r="U22" s="13">
        <f t="shared" si="34"/>
        <v>44043460.589999996</v>
      </c>
      <c r="V22" s="13">
        <f t="shared" si="34"/>
        <v>1855366.8399999999</v>
      </c>
      <c r="W22" s="13">
        <f t="shared" si="34"/>
        <v>1855366.8399999999</v>
      </c>
      <c r="X22" s="13">
        <f t="shared" si="34"/>
        <v>46880510</v>
      </c>
      <c r="Y22" s="13">
        <f t="shared" si="34"/>
        <v>46880510</v>
      </c>
      <c r="Z22" s="13">
        <f t="shared" si="34"/>
        <v>280156.82</v>
      </c>
      <c r="AA22" s="13">
        <f t="shared" ref="AA22:AB22" si="35">AA23+AA24</f>
        <v>152641.13</v>
      </c>
      <c r="AB22" s="13">
        <f t="shared" si="35"/>
        <v>91597.19</v>
      </c>
      <c r="AC22" s="13">
        <v>1231708.29</v>
      </c>
      <c r="AD22" s="13">
        <f t="shared" si="8"/>
        <v>1323305.48</v>
      </c>
      <c r="AE22" s="13">
        <f>AB22-AA22</f>
        <v>-61043.94</v>
      </c>
      <c r="AF22" s="52">
        <f t="shared" si="3"/>
        <v>-45557204.520000003</v>
      </c>
      <c r="AG22" s="52">
        <f t="shared" si="4"/>
        <v>2.8227198893527397</v>
      </c>
      <c r="AH22" s="12">
        <f t="shared" si="5"/>
        <v>-45557204.520000003</v>
      </c>
      <c r="AI22" s="52">
        <f t="shared" si="13"/>
        <v>2.8227198893527397</v>
      </c>
      <c r="AJ22" s="13" t="e">
        <f>AD22-#REF!</f>
        <v>#REF!</v>
      </c>
      <c r="AK22" s="12" t="e">
        <f>IF(#REF!=0,0,AD22/#REF!*100)</f>
        <v>#REF!</v>
      </c>
      <c r="AL22" s="52">
        <f t="shared" si="10"/>
        <v>1043148.6599999999</v>
      </c>
      <c r="AM22" s="52">
        <f t="shared" si="11"/>
        <v>472.344553311249</v>
      </c>
      <c r="AN22" s="13">
        <f t="shared" si="12"/>
        <v>-532061.35999999987</v>
      </c>
      <c r="AO22" s="52">
        <f t="shared" si="14"/>
        <v>71.323117966256206</v>
      </c>
      <c r="AP22" s="12">
        <f>AD22-M22</f>
        <v>-8544839.129999999</v>
      </c>
      <c r="AQ22" s="12">
        <f>IF(M22=0,0,AD22/M22*100)</f>
        <v>13.409871179421234</v>
      </c>
      <c r="AR22" s="37">
        <f>AD22</f>
        <v>1323305.48</v>
      </c>
    </row>
    <row r="23" spans="1:44" s="5" customFormat="1" ht="37.5" customHeight="1" x14ac:dyDescent="0.3">
      <c r="A23" s="4"/>
      <c r="B23" s="47"/>
      <c r="C23" s="47"/>
      <c r="D23" s="47"/>
      <c r="E23" s="47"/>
      <c r="F23" s="47"/>
      <c r="G23" s="47"/>
      <c r="H23" s="47"/>
      <c r="I23" s="71" t="s">
        <v>75</v>
      </c>
      <c r="J23" s="13"/>
      <c r="K23" s="13"/>
      <c r="L23" s="13"/>
      <c r="M23" s="13"/>
      <c r="N23" s="19"/>
      <c r="O23" s="13"/>
      <c r="P23" s="13">
        <v>34814978.960000001</v>
      </c>
      <c r="Q23" s="13"/>
      <c r="R23" s="13">
        <f>Q23</f>
        <v>0</v>
      </c>
      <c r="S23" s="13">
        <v>28869411.559999999</v>
      </c>
      <c r="T23" s="12">
        <v>29761276.809999999</v>
      </c>
      <c r="U23" s="12">
        <v>29761276.809999999</v>
      </c>
      <c r="V23" s="13">
        <v>0</v>
      </c>
      <c r="W23" s="12">
        <f>V23</f>
        <v>0</v>
      </c>
      <c r="X23" s="13">
        <v>34696660</v>
      </c>
      <c r="Y23" s="13">
        <v>34696660</v>
      </c>
      <c r="Z23" s="13">
        <v>0</v>
      </c>
      <c r="AA23" s="13">
        <v>139837</v>
      </c>
      <c r="AB23" s="13">
        <v>74389.14</v>
      </c>
      <c r="AC23" s="12">
        <v>478203.22</v>
      </c>
      <c r="AD23" s="12">
        <f t="shared" si="8"/>
        <v>552592.36</v>
      </c>
      <c r="AE23" s="13">
        <f>AB23-AA23</f>
        <v>-65447.86</v>
      </c>
      <c r="AF23" s="52">
        <f t="shared" si="3"/>
        <v>-34144067.640000001</v>
      </c>
      <c r="AG23" s="52">
        <f t="shared" si="4"/>
        <v>1.5926384845111892</v>
      </c>
      <c r="AH23" s="12">
        <f t="shared" si="5"/>
        <v>-34144067.640000001</v>
      </c>
      <c r="AI23" s="52">
        <f t="shared" si="13"/>
        <v>1.5926384845111894</v>
      </c>
      <c r="AJ23" s="13"/>
      <c r="AK23" s="12"/>
      <c r="AL23" s="52">
        <f t="shared" si="10"/>
        <v>552592.36</v>
      </c>
      <c r="AM23" s="52">
        <v>0</v>
      </c>
      <c r="AN23" s="13">
        <f t="shared" si="12"/>
        <v>552592.36</v>
      </c>
      <c r="AO23" s="52">
        <v>0</v>
      </c>
      <c r="AP23" s="12"/>
      <c r="AQ23" s="12"/>
      <c r="AR23" s="37"/>
    </row>
    <row r="24" spans="1:44" s="5" customFormat="1" ht="38.25" customHeight="1" x14ac:dyDescent="0.3">
      <c r="A24" s="4"/>
      <c r="B24" s="47"/>
      <c r="C24" s="47"/>
      <c r="D24" s="47"/>
      <c r="E24" s="47"/>
      <c r="F24" s="47"/>
      <c r="G24" s="47"/>
      <c r="H24" s="47"/>
      <c r="I24" s="71" t="s">
        <v>71</v>
      </c>
      <c r="J24" s="13"/>
      <c r="K24" s="13"/>
      <c r="L24" s="13"/>
      <c r="M24" s="13"/>
      <c r="N24" s="19"/>
      <c r="O24" s="13"/>
      <c r="P24" s="13">
        <v>12977305.199999999</v>
      </c>
      <c r="Q24" s="13"/>
      <c r="R24" s="13">
        <f>Q24</f>
        <v>0</v>
      </c>
      <c r="S24" s="13">
        <v>13181418.130000001</v>
      </c>
      <c r="T24" s="12">
        <v>14282183.779999999</v>
      </c>
      <c r="U24" s="12">
        <v>14282183.779999999</v>
      </c>
      <c r="V24" s="17">
        <f>1135507.93+719858.91</f>
        <v>1855366.8399999999</v>
      </c>
      <c r="W24" s="12">
        <f>V24</f>
        <v>1855366.8399999999</v>
      </c>
      <c r="X24" s="13">
        <v>12183850</v>
      </c>
      <c r="Y24" s="13">
        <v>12183850</v>
      </c>
      <c r="Z24" s="13">
        <v>280156.82</v>
      </c>
      <c r="AA24" s="13">
        <v>12804.13</v>
      </c>
      <c r="AB24" s="13">
        <v>17208.05</v>
      </c>
      <c r="AC24" s="12">
        <v>753505.07000000007</v>
      </c>
      <c r="AD24" s="12">
        <f t="shared" si="8"/>
        <v>770713.12000000011</v>
      </c>
      <c r="AE24" s="13">
        <f>AB24-AA24</f>
        <v>4403.92</v>
      </c>
      <c r="AF24" s="52">
        <f t="shared" si="3"/>
        <v>-11413136.879999999</v>
      </c>
      <c r="AG24" s="52">
        <f t="shared" si="4"/>
        <v>6.3256944233555084</v>
      </c>
      <c r="AH24" s="12">
        <f t="shared" si="5"/>
        <v>-11413136.879999999</v>
      </c>
      <c r="AI24" s="52">
        <f t="shared" si="13"/>
        <v>6.3256944233555084</v>
      </c>
      <c r="AJ24" s="13"/>
      <c r="AK24" s="12"/>
      <c r="AL24" s="52">
        <f t="shared" si="10"/>
        <v>490556.3000000001</v>
      </c>
      <c r="AM24" s="52">
        <f t="shared" si="11"/>
        <v>275.10060972279746</v>
      </c>
      <c r="AN24" s="13">
        <f t="shared" si="12"/>
        <v>-1084653.7199999997</v>
      </c>
      <c r="AO24" s="52">
        <f t="shared" si="14"/>
        <v>41.539662312817889</v>
      </c>
      <c r="AP24" s="12"/>
      <c r="AQ24" s="12"/>
      <c r="AR24" s="37"/>
    </row>
    <row r="25" spans="1:44" s="5" customFormat="1" ht="69.75" customHeight="1" x14ac:dyDescent="0.3">
      <c r="A25" s="4"/>
      <c r="B25" s="47"/>
      <c r="C25" s="47"/>
      <c r="D25" s="47"/>
      <c r="E25" s="47"/>
      <c r="F25" s="47"/>
      <c r="G25" s="6"/>
      <c r="H25" s="6"/>
      <c r="I25" s="64" t="s">
        <v>38</v>
      </c>
      <c r="J25" s="13">
        <v>939401.44</v>
      </c>
      <c r="K25" s="13">
        <f>J25</f>
        <v>939401.44</v>
      </c>
      <c r="L25" s="13">
        <v>333725.84000000003</v>
      </c>
      <c r="M25" s="13">
        <f>L25</f>
        <v>333725.84000000003</v>
      </c>
      <c r="N25" s="13">
        <v>811765.62</v>
      </c>
      <c r="O25" s="13">
        <v>1628476.84</v>
      </c>
      <c r="P25" s="13">
        <f>P26</f>
        <v>1531280.8</v>
      </c>
      <c r="Q25" s="13">
        <v>1628476.84</v>
      </c>
      <c r="R25" s="13">
        <f>Q25</f>
        <v>1628476.84</v>
      </c>
      <c r="S25" s="13">
        <f t="shared" ref="S25:Z25" si="36">S26</f>
        <v>1794725.01</v>
      </c>
      <c r="T25" s="13">
        <f t="shared" si="36"/>
        <v>1903605.01</v>
      </c>
      <c r="U25" s="13">
        <f t="shared" si="36"/>
        <v>1903605.01</v>
      </c>
      <c r="V25" s="13">
        <f t="shared" si="36"/>
        <v>175870.90000000002</v>
      </c>
      <c r="W25" s="13">
        <f t="shared" si="36"/>
        <v>175870.90000000002</v>
      </c>
      <c r="X25" s="13">
        <f t="shared" si="36"/>
        <v>100490</v>
      </c>
      <c r="Y25" s="13">
        <f t="shared" si="36"/>
        <v>100490</v>
      </c>
      <c r="Z25" s="13">
        <f t="shared" si="36"/>
        <v>2388</v>
      </c>
      <c r="AA25" s="13">
        <f>AA26</f>
        <v>32550</v>
      </c>
      <c r="AB25" s="13">
        <f>AB26</f>
        <v>47376.67</v>
      </c>
      <c r="AC25" s="13">
        <v>120806.67</v>
      </c>
      <c r="AD25" s="13">
        <f t="shared" si="8"/>
        <v>168183.34</v>
      </c>
      <c r="AE25" s="13">
        <f t="shared" si="9"/>
        <v>14826.669999999998</v>
      </c>
      <c r="AF25" s="52">
        <f t="shared" si="3"/>
        <v>67693.34</v>
      </c>
      <c r="AG25" s="52">
        <f t="shared" si="4"/>
        <v>167.36326002587322</v>
      </c>
      <c r="AH25" s="12">
        <f t="shared" si="5"/>
        <v>67693.34</v>
      </c>
      <c r="AI25" s="52">
        <f t="shared" si="13"/>
        <v>167.36326002587322</v>
      </c>
      <c r="AJ25" s="13" t="e">
        <f>AD25-#REF!</f>
        <v>#REF!</v>
      </c>
      <c r="AK25" s="12" t="e">
        <f>IF(#REF!=0,0,AD25/#REF!*100)</f>
        <v>#REF!</v>
      </c>
      <c r="AL25" s="52">
        <f t="shared" si="10"/>
        <v>165795.34</v>
      </c>
      <c r="AM25" s="52">
        <v>0</v>
      </c>
      <c r="AN25" s="13">
        <f t="shared" si="12"/>
        <v>-7687.5600000000268</v>
      </c>
      <c r="AO25" s="52">
        <v>0</v>
      </c>
      <c r="AP25" s="12">
        <f>AD25-M25</f>
        <v>-165542.50000000003</v>
      </c>
      <c r="AQ25" s="12">
        <f>IF(M25=0,0,AD25/M25*100)</f>
        <v>50.39566010231632</v>
      </c>
      <c r="AR25" s="37">
        <f>AD25</f>
        <v>168183.34</v>
      </c>
    </row>
    <row r="26" spans="1:44" s="5" customFormat="1" ht="43.5" customHeight="1" x14ac:dyDescent="0.3">
      <c r="A26" s="4"/>
      <c r="B26" s="21"/>
      <c r="C26" s="21"/>
      <c r="D26" s="21"/>
      <c r="E26" s="21"/>
      <c r="F26" s="21"/>
      <c r="G26" s="72"/>
      <c r="H26" s="72"/>
      <c r="I26" s="71" t="s">
        <v>71</v>
      </c>
      <c r="J26" s="13"/>
      <c r="K26" s="13"/>
      <c r="L26" s="13"/>
      <c r="M26" s="13"/>
      <c r="N26" s="13"/>
      <c r="O26" s="13"/>
      <c r="P26" s="17">
        <v>1531280.8</v>
      </c>
      <c r="Q26" s="17"/>
      <c r="R26" s="13">
        <f>Q26</f>
        <v>0</v>
      </c>
      <c r="S26" s="17">
        <v>1794725.01</v>
      </c>
      <c r="T26" s="12">
        <v>1903605.01</v>
      </c>
      <c r="U26" s="17">
        <f>T26</f>
        <v>1903605.01</v>
      </c>
      <c r="V26" s="17">
        <f>2388+47743.66+125739.24</f>
        <v>175870.90000000002</v>
      </c>
      <c r="W26" s="17">
        <f>V26</f>
        <v>175870.90000000002</v>
      </c>
      <c r="X26" s="17">
        <v>100490</v>
      </c>
      <c r="Y26" s="17">
        <v>100490</v>
      </c>
      <c r="Z26" s="17">
        <v>2388</v>
      </c>
      <c r="AA26" s="13">
        <v>32550</v>
      </c>
      <c r="AB26" s="13">
        <v>47376.67</v>
      </c>
      <c r="AC26" s="12">
        <v>120806.67</v>
      </c>
      <c r="AD26" s="12">
        <f t="shared" si="8"/>
        <v>168183.34</v>
      </c>
      <c r="AE26" s="13">
        <f>AB26-AA26</f>
        <v>14826.669999999998</v>
      </c>
      <c r="AF26" s="52">
        <f t="shared" si="3"/>
        <v>67693.34</v>
      </c>
      <c r="AG26" s="52">
        <f t="shared" si="4"/>
        <v>167.36326002587322</v>
      </c>
      <c r="AH26" s="12">
        <f t="shared" si="5"/>
        <v>67693.34</v>
      </c>
      <c r="AI26" s="52">
        <f t="shared" si="13"/>
        <v>167.36326002587322</v>
      </c>
      <c r="AJ26" s="17"/>
      <c r="AK26" s="43"/>
      <c r="AL26" s="52">
        <f t="shared" si="10"/>
        <v>165795.34</v>
      </c>
      <c r="AM26" s="52">
        <v>0</v>
      </c>
      <c r="AN26" s="13">
        <f t="shared" si="12"/>
        <v>-7687.5600000000268</v>
      </c>
      <c r="AO26" s="52">
        <v>0</v>
      </c>
      <c r="AP26" s="12"/>
      <c r="AQ26" s="12"/>
      <c r="AR26" s="37"/>
    </row>
    <row r="27" spans="1:44" s="10" customFormat="1" ht="48" customHeight="1" x14ac:dyDescent="0.3">
      <c r="A27" s="9"/>
      <c r="B27" s="100" t="s">
        <v>16</v>
      </c>
      <c r="C27" s="100"/>
      <c r="D27" s="100"/>
      <c r="E27" s="100"/>
      <c r="F27" s="100"/>
      <c r="G27" s="100"/>
      <c r="H27" s="100"/>
      <c r="I27" s="100"/>
      <c r="J27" s="12">
        <f t="shared" ref="J27:AB27" si="37">J28</f>
        <v>13500</v>
      </c>
      <c r="K27" s="12">
        <f t="shared" si="37"/>
        <v>13500</v>
      </c>
      <c r="L27" s="12">
        <f t="shared" si="37"/>
        <v>13500</v>
      </c>
      <c r="M27" s="12">
        <f t="shared" si="37"/>
        <v>13500</v>
      </c>
      <c r="N27" s="12">
        <f t="shared" si="37"/>
        <v>145882.54999999999</v>
      </c>
      <c r="O27" s="12">
        <f t="shared" si="37"/>
        <v>145882.54999999999</v>
      </c>
      <c r="P27" s="12">
        <f t="shared" si="37"/>
        <v>145882.54999999999</v>
      </c>
      <c r="Q27" s="12">
        <v>145882.54999999999</v>
      </c>
      <c r="R27" s="12">
        <f t="shared" si="37"/>
        <v>145882.54999999999</v>
      </c>
      <c r="S27" s="12">
        <f t="shared" si="37"/>
        <v>0</v>
      </c>
      <c r="T27" s="12">
        <f t="shared" si="37"/>
        <v>0</v>
      </c>
      <c r="U27" s="12">
        <f>U28</f>
        <v>0</v>
      </c>
      <c r="V27" s="12">
        <f t="shared" si="37"/>
        <v>0</v>
      </c>
      <c r="W27" s="12">
        <f>W28</f>
        <v>0</v>
      </c>
      <c r="X27" s="12">
        <f t="shared" si="37"/>
        <v>0</v>
      </c>
      <c r="Y27" s="12">
        <f t="shared" si="37"/>
        <v>0</v>
      </c>
      <c r="Z27" s="12">
        <f t="shared" si="37"/>
        <v>0</v>
      </c>
      <c r="AA27" s="12">
        <f t="shared" si="37"/>
        <v>0</v>
      </c>
      <c r="AB27" s="12">
        <f t="shared" si="37"/>
        <v>0</v>
      </c>
      <c r="AC27" s="12">
        <v>0</v>
      </c>
      <c r="AD27" s="12">
        <f t="shared" si="8"/>
        <v>0</v>
      </c>
      <c r="AE27" s="12">
        <f t="shared" si="9"/>
        <v>0</v>
      </c>
      <c r="AF27" s="52">
        <f t="shared" si="3"/>
        <v>0</v>
      </c>
      <c r="AG27" s="52">
        <v>0</v>
      </c>
      <c r="AH27" s="12">
        <f t="shared" si="5"/>
        <v>0</v>
      </c>
      <c r="AI27" s="52">
        <v>0</v>
      </c>
      <c r="AJ27" s="12" t="e">
        <f>AD27-#REF!</f>
        <v>#REF!</v>
      </c>
      <c r="AK27" s="12" t="e">
        <f>IF(#REF!=0,0,AD27/#REF!*100)</f>
        <v>#REF!</v>
      </c>
      <c r="AL27" s="52">
        <f t="shared" si="10"/>
        <v>0</v>
      </c>
      <c r="AM27" s="52">
        <v>0</v>
      </c>
      <c r="AN27" s="12">
        <f t="shared" si="12"/>
        <v>0</v>
      </c>
      <c r="AO27" s="52">
        <v>0</v>
      </c>
      <c r="AP27" s="12">
        <f t="shared" ref="AP27:AP33" si="38">AD27-M27</f>
        <v>-13500</v>
      </c>
      <c r="AQ27" s="12">
        <f t="shared" ref="AQ27:AQ33" si="39">IF(M27=0,0,AD27/M27*100)</f>
        <v>0</v>
      </c>
      <c r="AR27" s="40">
        <f t="shared" ref="AR27" si="40">AR28</f>
        <v>0</v>
      </c>
    </row>
    <row r="28" spans="1:44" s="5" customFormat="1" ht="84.75" customHeight="1" x14ac:dyDescent="0.3">
      <c r="A28" s="4"/>
      <c r="B28" s="47" t="s">
        <v>8</v>
      </c>
      <c r="C28" s="47" t="s">
        <v>17</v>
      </c>
      <c r="D28" s="47" t="s">
        <v>16</v>
      </c>
      <c r="E28" s="47"/>
      <c r="F28" s="47"/>
      <c r="G28" s="6"/>
      <c r="H28" s="6"/>
      <c r="I28" s="69" t="s">
        <v>15</v>
      </c>
      <c r="J28" s="13">
        <v>13500</v>
      </c>
      <c r="K28" s="13">
        <f>J28</f>
        <v>13500</v>
      </c>
      <c r="L28" s="13">
        <v>13500</v>
      </c>
      <c r="M28" s="13">
        <f>L28</f>
        <v>13500</v>
      </c>
      <c r="N28" s="13">
        <v>145882.54999999999</v>
      </c>
      <c r="O28" s="13">
        <f>145882.55</f>
        <v>145882.54999999999</v>
      </c>
      <c r="P28" s="13">
        <f>O28</f>
        <v>145882.54999999999</v>
      </c>
      <c r="Q28" s="13">
        <v>145882.54999999999</v>
      </c>
      <c r="R28" s="13">
        <f>Q28</f>
        <v>145882.54999999999</v>
      </c>
      <c r="S28" s="13">
        <v>0</v>
      </c>
      <c r="T28" s="13">
        <v>0</v>
      </c>
      <c r="U28" s="13">
        <f>T28</f>
        <v>0</v>
      </c>
      <c r="V28" s="13">
        <v>0</v>
      </c>
      <c r="W28" s="13">
        <f>V28</f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f t="shared" si="8"/>
        <v>0</v>
      </c>
      <c r="AE28" s="13">
        <f t="shared" si="9"/>
        <v>0</v>
      </c>
      <c r="AF28" s="52">
        <f t="shared" si="3"/>
        <v>0</v>
      </c>
      <c r="AG28" s="52">
        <v>0</v>
      </c>
      <c r="AH28" s="12">
        <f t="shared" si="5"/>
        <v>0</v>
      </c>
      <c r="AI28" s="52">
        <v>0</v>
      </c>
      <c r="AJ28" s="13" t="e">
        <f>AD28-#REF!</f>
        <v>#REF!</v>
      </c>
      <c r="AK28" s="12" t="e">
        <f>IF(#REF!=0,0,AD28/#REF!*100)</f>
        <v>#REF!</v>
      </c>
      <c r="AL28" s="52">
        <f t="shared" si="10"/>
        <v>0</v>
      </c>
      <c r="AM28" s="52">
        <v>0</v>
      </c>
      <c r="AN28" s="13">
        <f t="shared" si="12"/>
        <v>0</v>
      </c>
      <c r="AO28" s="52">
        <v>0</v>
      </c>
      <c r="AP28" s="12">
        <f t="shared" si="38"/>
        <v>-13500</v>
      </c>
      <c r="AQ28" s="12">
        <f t="shared" si="39"/>
        <v>0</v>
      </c>
      <c r="AR28" s="37">
        <f>AD28</f>
        <v>0</v>
      </c>
    </row>
    <row r="29" spans="1:44" s="10" customFormat="1" ht="58.5" customHeight="1" x14ac:dyDescent="0.3">
      <c r="A29" s="9"/>
      <c r="B29" s="46"/>
      <c r="C29" s="46"/>
      <c r="D29" s="46"/>
      <c r="E29" s="46"/>
      <c r="F29" s="46"/>
      <c r="G29" s="11"/>
      <c r="H29" s="11"/>
      <c r="I29" s="67" t="s">
        <v>44</v>
      </c>
      <c r="J29" s="12">
        <f t="shared" ref="J29:Z29" si="41">J30</f>
        <v>59624.2</v>
      </c>
      <c r="K29" s="12">
        <f t="shared" si="41"/>
        <v>59624.2</v>
      </c>
      <c r="L29" s="12">
        <f t="shared" si="41"/>
        <v>23095.54</v>
      </c>
      <c r="M29" s="12">
        <f t="shared" si="41"/>
        <v>23095.54</v>
      </c>
      <c r="N29" s="12">
        <f t="shared" si="41"/>
        <v>33317.79</v>
      </c>
      <c r="O29" s="12">
        <f t="shared" si="41"/>
        <v>67233.87</v>
      </c>
      <c r="P29" s="12">
        <f t="shared" si="41"/>
        <v>67233.87</v>
      </c>
      <c r="Q29" s="12">
        <v>67233.87</v>
      </c>
      <c r="R29" s="12">
        <f t="shared" si="41"/>
        <v>67233.87</v>
      </c>
      <c r="S29" s="12">
        <f t="shared" si="41"/>
        <v>924390.34</v>
      </c>
      <c r="T29" s="12">
        <f>T30</f>
        <v>985368.67</v>
      </c>
      <c r="U29" s="12">
        <f t="shared" si="41"/>
        <v>985368.67</v>
      </c>
      <c r="V29" s="12">
        <f t="shared" si="41"/>
        <v>5383.62</v>
      </c>
      <c r="W29" s="12">
        <f t="shared" si="41"/>
        <v>5383.62</v>
      </c>
      <c r="X29" s="12">
        <f t="shared" si="41"/>
        <v>48000</v>
      </c>
      <c r="Y29" s="12">
        <f t="shared" si="41"/>
        <v>48000</v>
      </c>
      <c r="Z29" s="12">
        <f t="shared" si="41"/>
        <v>0</v>
      </c>
      <c r="AA29" s="12">
        <f>AA30</f>
        <v>99106.6</v>
      </c>
      <c r="AB29" s="12">
        <f>AB30</f>
        <v>20473.990000000002</v>
      </c>
      <c r="AC29" s="12">
        <v>125652</v>
      </c>
      <c r="AD29" s="12">
        <f t="shared" si="8"/>
        <v>146125.99</v>
      </c>
      <c r="AE29" s="12">
        <f t="shared" si="9"/>
        <v>-78632.61</v>
      </c>
      <c r="AF29" s="52">
        <f t="shared" si="3"/>
        <v>98125.989999999991</v>
      </c>
      <c r="AG29" s="52">
        <v>0</v>
      </c>
      <c r="AH29" s="12">
        <f t="shared" si="5"/>
        <v>98125.989999999991</v>
      </c>
      <c r="AI29" s="52">
        <f t="shared" si="13"/>
        <v>304.42914583333334</v>
      </c>
      <c r="AJ29" s="12" t="e">
        <f>AD29-#REF!</f>
        <v>#REF!</v>
      </c>
      <c r="AK29" s="12" t="e">
        <f>IF(#REF!=0,0,AD29/#REF!*100)</f>
        <v>#REF!</v>
      </c>
      <c r="AL29" s="52">
        <f t="shared" si="10"/>
        <v>146125.99</v>
      </c>
      <c r="AM29" s="52">
        <v>0</v>
      </c>
      <c r="AN29" s="12">
        <f t="shared" si="12"/>
        <v>140742.37</v>
      </c>
      <c r="AO29" s="52">
        <f t="shared" si="14"/>
        <v>2714.2701379369273</v>
      </c>
      <c r="AP29" s="12">
        <f t="shared" si="38"/>
        <v>123030.44999999998</v>
      </c>
      <c r="AQ29" s="12">
        <f t="shared" si="39"/>
        <v>632.70220137740876</v>
      </c>
      <c r="AR29" s="40">
        <f t="shared" ref="AR29" si="42">AR30</f>
        <v>146125.99</v>
      </c>
    </row>
    <row r="30" spans="1:44" s="5" customFormat="1" ht="45.75" customHeight="1" x14ac:dyDescent="0.3">
      <c r="A30" s="4"/>
      <c r="B30" s="47"/>
      <c r="C30" s="47"/>
      <c r="D30" s="47"/>
      <c r="E30" s="47"/>
      <c r="F30" s="47"/>
      <c r="G30" s="6"/>
      <c r="H30" s="6"/>
      <c r="I30" s="14" t="s">
        <v>45</v>
      </c>
      <c r="J30" s="13">
        <v>59624.2</v>
      </c>
      <c r="K30" s="13">
        <f>J30</f>
        <v>59624.2</v>
      </c>
      <c r="L30" s="13">
        <v>23095.54</v>
      </c>
      <c r="M30" s="13">
        <f>L30</f>
        <v>23095.54</v>
      </c>
      <c r="N30" s="13">
        <v>33317.79</v>
      </c>
      <c r="O30" s="13">
        <v>67233.87</v>
      </c>
      <c r="P30" s="13">
        <f>O30</f>
        <v>67233.87</v>
      </c>
      <c r="Q30" s="13">
        <v>67233.87</v>
      </c>
      <c r="R30" s="13">
        <f>Q30</f>
        <v>67233.87</v>
      </c>
      <c r="S30" s="13">
        <v>924390.34</v>
      </c>
      <c r="T30" s="13">
        <v>985368.67</v>
      </c>
      <c r="U30" s="13">
        <f>T30</f>
        <v>985368.67</v>
      </c>
      <c r="V30" s="13">
        <v>5383.62</v>
      </c>
      <c r="W30" s="13">
        <f>V30</f>
        <v>5383.62</v>
      </c>
      <c r="X30" s="13">
        <v>48000</v>
      </c>
      <c r="Y30" s="13">
        <v>48000</v>
      </c>
      <c r="Z30" s="13">
        <v>0</v>
      </c>
      <c r="AA30" s="13">
        <v>99106.6</v>
      </c>
      <c r="AB30" s="13">
        <v>20473.990000000002</v>
      </c>
      <c r="AC30" s="13">
        <v>125652</v>
      </c>
      <c r="AD30" s="13">
        <f t="shared" si="8"/>
        <v>146125.99</v>
      </c>
      <c r="AE30" s="13">
        <f t="shared" si="9"/>
        <v>-78632.61</v>
      </c>
      <c r="AF30" s="52">
        <f t="shared" si="3"/>
        <v>98125.989999999991</v>
      </c>
      <c r="AG30" s="52">
        <v>0</v>
      </c>
      <c r="AH30" s="12">
        <f t="shared" si="5"/>
        <v>98125.989999999991</v>
      </c>
      <c r="AI30" s="52">
        <f t="shared" si="13"/>
        <v>304.42914583333334</v>
      </c>
      <c r="AJ30" s="13" t="e">
        <f>AD30-#REF!</f>
        <v>#REF!</v>
      </c>
      <c r="AK30" s="12" t="e">
        <f>IF(#REF!=0,0,AD30/#REF!*100)</f>
        <v>#REF!</v>
      </c>
      <c r="AL30" s="52">
        <f t="shared" si="10"/>
        <v>146125.99</v>
      </c>
      <c r="AM30" s="52">
        <v>0</v>
      </c>
      <c r="AN30" s="13">
        <f t="shared" si="12"/>
        <v>140742.37</v>
      </c>
      <c r="AO30" s="52">
        <f t="shared" si="14"/>
        <v>2714.2701379369273</v>
      </c>
      <c r="AP30" s="12">
        <f t="shared" si="38"/>
        <v>123030.44999999998</v>
      </c>
      <c r="AQ30" s="12">
        <f t="shared" si="39"/>
        <v>632.70220137740876</v>
      </c>
      <c r="AR30" s="37">
        <f>AD30</f>
        <v>146125.99</v>
      </c>
    </row>
    <row r="31" spans="1:44" s="10" customFormat="1" ht="40.5" customHeight="1" x14ac:dyDescent="0.3">
      <c r="A31" s="9"/>
      <c r="B31" s="100" t="s">
        <v>14</v>
      </c>
      <c r="C31" s="100"/>
      <c r="D31" s="100"/>
      <c r="E31" s="100"/>
      <c r="F31" s="100"/>
      <c r="G31" s="100"/>
      <c r="H31" s="100"/>
      <c r="I31" s="100"/>
      <c r="J31" s="12">
        <v>94365.83</v>
      </c>
      <c r="K31" s="12">
        <f>J31</f>
        <v>94365.83</v>
      </c>
      <c r="L31" s="12">
        <v>-57774.36</v>
      </c>
      <c r="M31" s="12">
        <f>L31</f>
        <v>-57774.36</v>
      </c>
      <c r="N31" s="12">
        <v>700000</v>
      </c>
      <c r="O31" s="12">
        <v>700639.49</v>
      </c>
      <c r="P31" s="12">
        <f>O31</f>
        <v>700639.49</v>
      </c>
      <c r="Q31" s="12">
        <v>700639.49</v>
      </c>
      <c r="R31" s="12">
        <f>Q31</f>
        <v>700639.49</v>
      </c>
      <c r="S31" s="12">
        <v>267810</v>
      </c>
      <c r="T31" s="12">
        <v>267975.98</v>
      </c>
      <c r="U31" s="12">
        <f>T31</f>
        <v>267975.98</v>
      </c>
      <c r="V31" s="12">
        <v>7065.66</v>
      </c>
      <c r="W31" s="12">
        <f>V31</f>
        <v>7065.66</v>
      </c>
      <c r="X31" s="12">
        <v>763440</v>
      </c>
      <c r="Y31" s="12">
        <v>763440</v>
      </c>
      <c r="Z31" s="12">
        <v>219341</v>
      </c>
      <c r="AA31" s="12">
        <v>4990.4399999999996</v>
      </c>
      <c r="AB31" s="12">
        <v>446.76</v>
      </c>
      <c r="AC31" s="12">
        <v>7638.4699999999993</v>
      </c>
      <c r="AD31" s="12">
        <f t="shared" si="8"/>
        <v>8085.23</v>
      </c>
      <c r="AE31" s="12">
        <f t="shared" si="9"/>
        <v>-4543.6799999999994</v>
      </c>
      <c r="AF31" s="52">
        <f t="shared" si="3"/>
        <v>-755354.77</v>
      </c>
      <c r="AG31" s="52">
        <v>0</v>
      </c>
      <c r="AH31" s="12">
        <f t="shared" si="5"/>
        <v>-755354.77</v>
      </c>
      <c r="AI31" s="52">
        <f t="shared" si="13"/>
        <v>1.0590524468196585</v>
      </c>
      <c r="AJ31" s="12" t="e">
        <f>AD31-#REF!</f>
        <v>#REF!</v>
      </c>
      <c r="AK31" s="12" t="e">
        <f>IF(#REF!=0,0,AD31/#REF!*100)</f>
        <v>#REF!</v>
      </c>
      <c r="AL31" s="52">
        <f t="shared" si="10"/>
        <v>-211255.77</v>
      </c>
      <c r="AM31" s="52">
        <f t="shared" si="11"/>
        <v>3.6861462289312072</v>
      </c>
      <c r="AN31" s="12">
        <f t="shared" si="12"/>
        <v>1019.5699999999997</v>
      </c>
      <c r="AO31" s="52">
        <f t="shared" si="14"/>
        <v>114.42993294327776</v>
      </c>
      <c r="AP31" s="12">
        <f t="shared" si="38"/>
        <v>65859.59</v>
      </c>
      <c r="AQ31" s="12">
        <f t="shared" si="39"/>
        <v>-13.994495135904577</v>
      </c>
      <c r="AR31" s="40">
        <v>745000</v>
      </c>
    </row>
    <row r="32" spans="1:44" s="10" customFormat="1" ht="57.75" customHeight="1" x14ac:dyDescent="0.3">
      <c r="A32" s="9"/>
      <c r="B32" s="100" t="s">
        <v>13</v>
      </c>
      <c r="C32" s="100"/>
      <c r="D32" s="100"/>
      <c r="E32" s="100"/>
      <c r="F32" s="100"/>
      <c r="G32" s="100"/>
      <c r="H32" s="100"/>
      <c r="I32" s="100"/>
      <c r="J32" s="12">
        <f t="shared" ref="J32:N32" si="43">J33+J39</f>
        <v>26875602.490000002</v>
      </c>
      <c r="K32" s="12">
        <f t="shared" si="43"/>
        <v>26875602.490000002</v>
      </c>
      <c r="L32" s="12">
        <f t="shared" si="43"/>
        <v>10496131.460000001</v>
      </c>
      <c r="M32" s="12">
        <f t="shared" si="43"/>
        <v>10496131.460000001</v>
      </c>
      <c r="N32" s="12">
        <f t="shared" si="43"/>
        <v>29133952.98</v>
      </c>
      <c r="O32" s="12">
        <f>O33+O39</f>
        <v>30359839.810000002</v>
      </c>
      <c r="P32" s="12">
        <f t="shared" ref="P32:AB32" si="44">P33+P39</f>
        <v>30359839.810000002</v>
      </c>
      <c r="Q32" s="12">
        <v>30359839.810000002</v>
      </c>
      <c r="R32" s="12">
        <f>R33+R39</f>
        <v>30359839.810000002</v>
      </c>
      <c r="S32" s="12">
        <f t="shared" ref="S32" si="45">S33+S39</f>
        <v>27175643.960000001</v>
      </c>
      <c r="T32" s="12">
        <f>T33+T39</f>
        <v>28830788.940000001</v>
      </c>
      <c r="U32" s="12">
        <f t="shared" ref="U32:V32" si="46">U33+U39</f>
        <v>28830788.940000001</v>
      </c>
      <c r="V32" s="12">
        <f t="shared" si="46"/>
        <v>3224240.32</v>
      </c>
      <c r="W32" s="12">
        <f t="shared" ref="W32" si="47">W33+W39</f>
        <v>3224240.32</v>
      </c>
      <c r="X32" s="12">
        <f>X33+X39</f>
        <v>25090600</v>
      </c>
      <c r="Y32" s="12">
        <f>Y33+Y39</f>
        <v>25090600</v>
      </c>
      <c r="Z32" s="12">
        <f>Z33+Z39</f>
        <v>3631305.02</v>
      </c>
      <c r="AA32" s="12">
        <f t="shared" ref="AA32" si="48">AA33+AA39</f>
        <v>1013502.4500000001</v>
      </c>
      <c r="AB32" s="12">
        <f t="shared" si="44"/>
        <v>910115.51000000013</v>
      </c>
      <c r="AC32" s="12">
        <v>3811326.16</v>
      </c>
      <c r="AD32" s="12">
        <f t="shared" si="8"/>
        <v>4721441.67</v>
      </c>
      <c r="AE32" s="12">
        <f t="shared" si="9"/>
        <v>-103386.93999999994</v>
      </c>
      <c r="AF32" s="52">
        <f t="shared" si="3"/>
        <v>-20369158.329999998</v>
      </c>
      <c r="AG32" s="52">
        <v>0</v>
      </c>
      <c r="AH32" s="12">
        <f t="shared" si="5"/>
        <v>-20369158.329999998</v>
      </c>
      <c r="AI32" s="52">
        <f t="shared" si="13"/>
        <v>18.817571799797534</v>
      </c>
      <c r="AJ32" s="12" t="e">
        <f>AD32-#REF!</f>
        <v>#REF!</v>
      </c>
      <c r="AK32" s="12" t="e">
        <f>IF(#REF!=0,0,AD32/#REF!*100)</f>
        <v>#REF!</v>
      </c>
      <c r="AL32" s="52">
        <f t="shared" si="10"/>
        <v>1090136.6499999999</v>
      </c>
      <c r="AM32" s="52">
        <f t="shared" si="11"/>
        <v>130.02052000578018</v>
      </c>
      <c r="AN32" s="12">
        <f t="shared" si="12"/>
        <v>1497201.35</v>
      </c>
      <c r="AO32" s="52">
        <f t="shared" si="14"/>
        <v>146.43578646147569</v>
      </c>
      <c r="AP32" s="12">
        <f t="shared" si="38"/>
        <v>-5774689.790000001</v>
      </c>
      <c r="AQ32" s="12">
        <f t="shared" si="39"/>
        <v>44.982684220306055</v>
      </c>
      <c r="AR32" s="40">
        <f t="shared" ref="AR32" si="49">AR33+AR39</f>
        <v>4721441.6700000009</v>
      </c>
    </row>
    <row r="33" spans="1:46" s="5" customFormat="1" ht="39" customHeight="1" x14ac:dyDescent="0.3">
      <c r="A33" s="4"/>
      <c r="B33" s="105" t="s">
        <v>68</v>
      </c>
      <c r="C33" s="105"/>
      <c r="D33" s="105"/>
      <c r="E33" s="105"/>
      <c r="F33" s="105"/>
      <c r="G33" s="105"/>
      <c r="H33" s="105"/>
      <c r="I33" s="105"/>
      <c r="J33" s="13">
        <v>25635946.170000002</v>
      </c>
      <c r="K33" s="13">
        <f>J33</f>
        <v>25635946.170000002</v>
      </c>
      <c r="L33" s="13">
        <v>9871683.9800000004</v>
      </c>
      <c r="M33" s="13">
        <f>L33</f>
        <v>9871683.9800000004</v>
      </c>
      <c r="N33" s="13">
        <v>29103618.59</v>
      </c>
      <c r="O33" s="13">
        <v>29972428.030000001</v>
      </c>
      <c r="P33" s="13">
        <f>P34+P35+P38</f>
        <v>29972428.030000001</v>
      </c>
      <c r="Q33" s="13">
        <v>29972428.030000001</v>
      </c>
      <c r="R33" s="13">
        <f>R34+R35+R38</f>
        <v>29972428.030000001</v>
      </c>
      <c r="S33" s="13">
        <f t="shared" ref="S33:T33" si="50">S34+S35+S38</f>
        <v>27157421.199999999</v>
      </c>
      <c r="T33" s="13">
        <f t="shared" si="50"/>
        <v>28334417.470000003</v>
      </c>
      <c r="U33" s="13">
        <f>U34+U35+U38</f>
        <v>28334417.470000003</v>
      </c>
      <c r="V33" s="13">
        <f t="shared" ref="V33" si="51">V34+V35+V38</f>
        <v>3202730.6399999997</v>
      </c>
      <c r="W33" s="13">
        <f>W34+W35+W38</f>
        <v>3202730.6399999997</v>
      </c>
      <c r="X33" s="13">
        <f>X34+X35+X38+X36+X37</f>
        <v>25090600</v>
      </c>
      <c r="Y33" s="13">
        <f>Y34+Y35+Y38+Y36+Y37</f>
        <v>25090600</v>
      </c>
      <c r="Z33" s="13">
        <f>Z34+Z35+Z38+Z36+Z37</f>
        <v>3631305.02</v>
      </c>
      <c r="AA33" s="13">
        <f>AA34+AA35+AA38+AA36+AA37</f>
        <v>1013502.4500000001</v>
      </c>
      <c r="AB33" s="13">
        <f>AB34+AB35+AB38+AB36+AB37</f>
        <v>906607.96000000008</v>
      </c>
      <c r="AC33" s="13">
        <v>3784644.14</v>
      </c>
      <c r="AD33" s="13">
        <f t="shared" si="8"/>
        <v>4691252.1000000006</v>
      </c>
      <c r="AE33" s="13">
        <f t="shared" si="9"/>
        <v>-106894.48999999999</v>
      </c>
      <c r="AF33" s="52">
        <f t="shared" si="3"/>
        <v>-20399347.899999999</v>
      </c>
      <c r="AG33" s="52">
        <v>0</v>
      </c>
      <c r="AH33" s="12">
        <f t="shared" si="5"/>
        <v>-20399347.899999999</v>
      </c>
      <c r="AI33" s="52">
        <f t="shared" si="13"/>
        <v>18.697249567567138</v>
      </c>
      <c r="AJ33" s="13" t="e">
        <f>AD33-#REF!</f>
        <v>#REF!</v>
      </c>
      <c r="AK33" s="12" t="e">
        <f>IF(#REF!=0,0,AD33/#REF!*100)</f>
        <v>#REF!</v>
      </c>
      <c r="AL33" s="52">
        <f t="shared" si="10"/>
        <v>1059947.0800000005</v>
      </c>
      <c r="AM33" s="52">
        <f t="shared" si="11"/>
        <v>129.18915029616545</v>
      </c>
      <c r="AN33" s="13">
        <f t="shared" si="12"/>
        <v>1488521.4600000009</v>
      </c>
      <c r="AO33" s="52">
        <f t="shared" si="14"/>
        <v>146.4766359496283</v>
      </c>
      <c r="AP33" s="12">
        <f t="shared" si="38"/>
        <v>-5180431.88</v>
      </c>
      <c r="AQ33" s="12">
        <f t="shared" si="39"/>
        <v>47.522308346827771</v>
      </c>
      <c r="AR33" s="37">
        <f>AD33</f>
        <v>4691252.1000000006</v>
      </c>
    </row>
    <row r="34" spans="1:46" s="5" customFormat="1" ht="39" customHeight="1" x14ac:dyDescent="0.3">
      <c r="A34" s="4"/>
      <c r="B34" s="47"/>
      <c r="C34" s="47"/>
      <c r="D34" s="47"/>
      <c r="E34" s="47"/>
      <c r="F34" s="47"/>
      <c r="G34" s="47"/>
      <c r="H34" s="47"/>
      <c r="I34" s="51" t="s">
        <v>64</v>
      </c>
      <c r="J34" s="37"/>
      <c r="K34" s="37"/>
      <c r="L34" s="37"/>
      <c r="M34" s="37"/>
      <c r="N34" s="37"/>
      <c r="O34" s="37">
        <v>523404.98</v>
      </c>
      <c r="P34" s="37">
        <f>O34</f>
        <v>523404.98</v>
      </c>
      <c r="Q34" s="37">
        <v>523404.98</v>
      </c>
      <c r="R34" s="37">
        <f>Q34</f>
        <v>523404.98</v>
      </c>
      <c r="S34" s="37">
        <v>350000</v>
      </c>
      <c r="T34" s="37">
        <v>604943.78</v>
      </c>
      <c r="U34" s="37">
        <f>T34</f>
        <v>604943.78</v>
      </c>
      <c r="V34" s="37">
        <v>47646.8</v>
      </c>
      <c r="W34" s="37">
        <f>V34</f>
        <v>47646.8</v>
      </c>
      <c r="X34" s="37">
        <v>360000</v>
      </c>
      <c r="Y34" s="37">
        <v>360000</v>
      </c>
      <c r="Z34" s="37">
        <v>60000</v>
      </c>
      <c r="AA34" s="37">
        <v>11716.65</v>
      </c>
      <c r="AB34" s="37">
        <v>11133.54</v>
      </c>
      <c r="AC34" s="37">
        <v>61157.65</v>
      </c>
      <c r="AD34" s="37">
        <f t="shared" si="8"/>
        <v>72291.19</v>
      </c>
      <c r="AE34" s="37">
        <f t="shared" si="9"/>
        <v>-583.10999999999876</v>
      </c>
      <c r="AF34" s="53">
        <f t="shared" si="3"/>
        <v>-287708.81</v>
      </c>
      <c r="AG34" s="53">
        <f>AD34/X34*100</f>
        <v>20.080886111111113</v>
      </c>
      <c r="AH34" s="40">
        <f t="shared" si="5"/>
        <v>-287708.81</v>
      </c>
      <c r="AI34" s="53">
        <f t="shared" si="13"/>
        <v>20.080886111111113</v>
      </c>
      <c r="AJ34" s="37"/>
      <c r="AK34" s="40"/>
      <c r="AL34" s="53">
        <f t="shared" si="10"/>
        <v>12291.190000000002</v>
      </c>
      <c r="AM34" s="53">
        <f t="shared" si="11"/>
        <v>120.48531666666666</v>
      </c>
      <c r="AN34" s="37">
        <f t="shared" si="12"/>
        <v>24644.39</v>
      </c>
      <c r="AO34" s="53">
        <f t="shared" si="14"/>
        <v>151.7230747920112</v>
      </c>
      <c r="AP34" s="12"/>
      <c r="AQ34" s="12"/>
      <c r="AR34" s="37"/>
    </row>
    <row r="35" spans="1:46" s="5" customFormat="1" ht="39" customHeight="1" x14ac:dyDescent="0.3">
      <c r="A35" s="4"/>
      <c r="B35" s="47"/>
      <c r="C35" s="47"/>
      <c r="D35" s="47"/>
      <c r="E35" s="47"/>
      <c r="F35" s="47"/>
      <c r="G35" s="47"/>
      <c r="H35" s="47"/>
      <c r="I35" s="51" t="s">
        <v>65</v>
      </c>
      <c r="J35" s="37"/>
      <c r="K35" s="37"/>
      <c r="L35" s="37"/>
      <c r="M35" s="37"/>
      <c r="N35" s="37"/>
      <c r="O35" s="37">
        <v>29449023.050000001</v>
      </c>
      <c r="P35" s="37">
        <f t="shared" ref="P35:P38" si="52">O35</f>
        <v>29449023.050000001</v>
      </c>
      <c r="Q35" s="37">
        <v>29449023.050000001</v>
      </c>
      <c r="R35" s="37">
        <f>Q35</f>
        <v>29449023.050000001</v>
      </c>
      <c r="S35" s="37">
        <v>26807421.199999999</v>
      </c>
      <c r="T35" s="37">
        <v>27683990.93</v>
      </c>
      <c r="U35" s="37">
        <f t="shared" ref="U35:W38" si="53">T35</f>
        <v>27683990.93</v>
      </c>
      <c r="V35" s="37">
        <v>3155083.84</v>
      </c>
      <c r="W35" s="37">
        <f t="shared" si="53"/>
        <v>3155083.84</v>
      </c>
      <c r="X35" s="37">
        <v>22830600</v>
      </c>
      <c r="Y35" s="37">
        <v>22830600</v>
      </c>
      <c r="Z35" s="37">
        <v>3424590</v>
      </c>
      <c r="AA35" s="37">
        <v>911235.8</v>
      </c>
      <c r="AB35" s="37">
        <v>848044.42</v>
      </c>
      <c r="AC35" s="37">
        <v>3573066.49</v>
      </c>
      <c r="AD35" s="37">
        <f t="shared" si="8"/>
        <v>4421110.91</v>
      </c>
      <c r="AE35" s="37">
        <f t="shared" si="9"/>
        <v>-63191.380000000005</v>
      </c>
      <c r="AF35" s="53">
        <f t="shared" si="3"/>
        <v>-18409489.09</v>
      </c>
      <c r="AG35" s="53">
        <f>AD35/X35*100</f>
        <v>19.364847660595867</v>
      </c>
      <c r="AH35" s="40">
        <f t="shared" si="5"/>
        <v>-18409489.09</v>
      </c>
      <c r="AI35" s="53">
        <f t="shared" si="13"/>
        <v>19.364847660595867</v>
      </c>
      <c r="AJ35" s="37"/>
      <c r="AK35" s="40"/>
      <c r="AL35" s="53">
        <f t="shared" si="10"/>
        <v>996520.91000000015</v>
      </c>
      <c r="AM35" s="53">
        <f t="shared" si="11"/>
        <v>129.09898440397245</v>
      </c>
      <c r="AN35" s="37">
        <f t="shared" si="12"/>
        <v>1266027.0700000003</v>
      </c>
      <c r="AO35" s="53">
        <f t="shared" si="14"/>
        <v>140.12657457622427</v>
      </c>
      <c r="AP35" s="12"/>
      <c r="AQ35" s="12"/>
      <c r="AR35" s="37"/>
    </row>
    <row r="36" spans="1:46" s="5" customFormat="1" ht="39" customHeight="1" x14ac:dyDescent="0.3">
      <c r="A36" s="4"/>
      <c r="B36" s="47"/>
      <c r="C36" s="47"/>
      <c r="D36" s="47"/>
      <c r="E36" s="47"/>
      <c r="F36" s="47"/>
      <c r="G36" s="47"/>
      <c r="H36" s="47"/>
      <c r="I36" s="51" t="s">
        <v>82</v>
      </c>
      <c r="J36" s="37"/>
      <c r="K36" s="37"/>
      <c r="L36" s="37"/>
      <c r="M36" s="37"/>
      <c r="N36" s="37"/>
      <c r="O36" s="37"/>
      <c r="P36" s="37"/>
      <c r="Q36" s="37"/>
      <c r="R36" s="37"/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1400000</v>
      </c>
      <c r="Y36" s="37">
        <v>1400000</v>
      </c>
      <c r="Z36" s="37">
        <v>120695.02</v>
      </c>
      <c r="AA36" s="37">
        <v>89730</v>
      </c>
      <c r="AB36" s="37">
        <v>47280</v>
      </c>
      <c r="AC36" s="37">
        <v>0</v>
      </c>
      <c r="AD36" s="37">
        <v>0</v>
      </c>
      <c r="AE36" s="37">
        <f t="shared" si="9"/>
        <v>-42450</v>
      </c>
      <c r="AF36" s="53">
        <f t="shared" si="3"/>
        <v>-1400000</v>
      </c>
      <c r="AG36" s="53">
        <f t="shared" ref="AG36:AG37" si="54">AD36/X36*100</f>
        <v>0</v>
      </c>
      <c r="AH36" s="40">
        <f t="shared" ref="AH36:AH37" si="55">AD36-Y36</f>
        <v>-1400000</v>
      </c>
      <c r="AI36" s="53">
        <f t="shared" si="13"/>
        <v>0</v>
      </c>
      <c r="AJ36" s="37"/>
      <c r="AK36" s="40"/>
      <c r="AL36" s="53">
        <f t="shared" si="10"/>
        <v>-120695.02</v>
      </c>
      <c r="AM36" s="53">
        <f t="shared" si="11"/>
        <v>0</v>
      </c>
      <c r="AN36" s="37">
        <f t="shared" ref="AN36:AN37" si="56">AD36-W36</f>
        <v>0</v>
      </c>
      <c r="AO36" s="53">
        <v>0</v>
      </c>
      <c r="AP36" s="12"/>
      <c r="AQ36" s="12"/>
      <c r="AR36" s="37"/>
    </row>
    <row r="37" spans="1:46" s="5" customFormat="1" ht="39" customHeight="1" x14ac:dyDescent="0.3">
      <c r="A37" s="4"/>
      <c r="B37" s="47"/>
      <c r="C37" s="47"/>
      <c r="D37" s="47"/>
      <c r="E37" s="47"/>
      <c r="F37" s="47"/>
      <c r="G37" s="47"/>
      <c r="H37" s="47"/>
      <c r="I37" s="51" t="s">
        <v>83</v>
      </c>
      <c r="J37" s="37"/>
      <c r="K37" s="37"/>
      <c r="L37" s="37"/>
      <c r="M37" s="37"/>
      <c r="N37" s="37"/>
      <c r="O37" s="37"/>
      <c r="P37" s="37"/>
      <c r="Q37" s="37"/>
      <c r="R37" s="37"/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500000</v>
      </c>
      <c r="Y37" s="37">
        <v>500000</v>
      </c>
      <c r="Z37" s="37">
        <v>26020</v>
      </c>
      <c r="AA37" s="37">
        <v>0</v>
      </c>
      <c r="AB37" s="37">
        <v>0</v>
      </c>
      <c r="AC37" s="37">
        <v>0</v>
      </c>
      <c r="AD37" s="37">
        <v>0</v>
      </c>
      <c r="AE37" s="37">
        <f t="shared" si="9"/>
        <v>0</v>
      </c>
      <c r="AF37" s="53">
        <f t="shared" si="3"/>
        <v>-500000</v>
      </c>
      <c r="AG37" s="53">
        <f t="shared" si="54"/>
        <v>0</v>
      </c>
      <c r="AH37" s="40">
        <f t="shared" si="55"/>
        <v>-500000</v>
      </c>
      <c r="AI37" s="53">
        <f t="shared" si="13"/>
        <v>0</v>
      </c>
      <c r="AJ37" s="37"/>
      <c r="AK37" s="40"/>
      <c r="AL37" s="53">
        <f t="shared" si="10"/>
        <v>-26020</v>
      </c>
      <c r="AM37" s="53">
        <v>0</v>
      </c>
      <c r="AN37" s="37">
        <f t="shared" si="56"/>
        <v>0</v>
      </c>
      <c r="AO37" s="53">
        <v>0</v>
      </c>
      <c r="AP37" s="12"/>
      <c r="AQ37" s="12"/>
      <c r="AR37" s="37"/>
    </row>
    <row r="38" spans="1:46" s="5" customFormat="1" ht="39" customHeight="1" x14ac:dyDescent="0.3">
      <c r="A38" s="4"/>
      <c r="B38" s="47"/>
      <c r="C38" s="47"/>
      <c r="D38" s="47"/>
      <c r="E38" s="47"/>
      <c r="F38" s="47"/>
      <c r="G38" s="47"/>
      <c r="H38" s="47"/>
      <c r="I38" s="51" t="s">
        <v>66</v>
      </c>
      <c r="J38" s="37"/>
      <c r="K38" s="37"/>
      <c r="L38" s="37"/>
      <c r="M38" s="37"/>
      <c r="N38" s="37"/>
      <c r="O38" s="37">
        <v>0</v>
      </c>
      <c r="P38" s="37">
        <f t="shared" si="52"/>
        <v>0</v>
      </c>
      <c r="Q38" s="37">
        <v>0</v>
      </c>
      <c r="R38" s="37">
        <f>Q38</f>
        <v>0</v>
      </c>
      <c r="S38" s="37">
        <v>0</v>
      </c>
      <c r="T38" s="37">
        <v>45482.76</v>
      </c>
      <c r="U38" s="37">
        <f t="shared" si="53"/>
        <v>45482.76</v>
      </c>
      <c r="V38" s="37">
        <v>0</v>
      </c>
      <c r="W38" s="37">
        <f t="shared" si="53"/>
        <v>0</v>
      </c>
      <c r="X38" s="37">
        <v>0</v>
      </c>
      <c r="Y38" s="37">
        <v>0</v>
      </c>
      <c r="Z38" s="37">
        <v>0</v>
      </c>
      <c r="AA38" s="37">
        <v>820</v>
      </c>
      <c r="AB38" s="37">
        <v>150</v>
      </c>
      <c r="AC38" s="37">
        <v>2770</v>
      </c>
      <c r="AD38" s="37">
        <f t="shared" si="8"/>
        <v>2920</v>
      </c>
      <c r="AE38" s="37">
        <f t="shared" si="9"/>
        <v>-670</v>
      </c>
      <c r="AF38" s="53">
        <f t="shared" ref="AF38:AF57" si="57">AD38-X38</f>
        <v>2920</v>
      </c>
      <c r="AG38" s="53">
        <v>0</v>
      </c>
      <c r="AH38" s="40">
        <f t="shared" ref="AH38:AH57" si="58">AD38-Y38</f>
        <v>2920</v>
      </c>
      <c r="AI38" s="53">
        <v>0</v>
      </c>
      <c r="AJ38" s="37"/>
      <c r="AK38" s="40"/>
      <c r="AL38" s="53">
        <f t="shared" si="10"/>
        <v>2920</v>
      </c>
      <c r="AM38" s="53">
        <v>0</v>
      </c>
      <c r="AN38" s="37">
        <f t="shared" si="12"/>
        <v>2920</v>
      </c>
      <c r="AO38" s="53">
        <v>0</v>
      </c>
      <c r="AP38" s="12"/>
      <c r="AQ38" s="12"/>
      <c r="AR38" s="37"/>
    </row>
    <row r="39" spans="1:46" s="5" customFormat="1" ht="28.5" customHeight="1" x14ac:dyDescent="0.3">
      <c r="A39" s="4"/>
      <c r="B39" s="105" t="s">
        <v>12</v>
      </c>
      <c r="C39" s="105"/>
      <c r="D39" s="105"/>
      <c r="E39" s="105"/>
      <c r="F39" s="105"/>
      <c r="G39" s="105"/>
      <c r="H39" s="105"/>
      <c r="I39" s="105"/>
      <c r="J39" s="13">
        <v>1239656.32</v>
      </c>
      <c r="K39" s="13">
        <f>J39</f>
        <v>1239656.32</v>
      </c>
      <c r="L39" s="13">
        <v>624447.48</v>
      </c>
      <c r="M39" s="13">
        <f>L39</f>
        <v>624447.48</v>
      </c>
      <c r="N39" s="13">
        <v>30334.39</v>
      </c>
      <c r="O39" s="13">
        <v>387411.78</v>
      </c>
      <c r="P39" s="13">
        <f>O39</f>
        <v>387411.78</v>
      </c>
      <c r="Q39" s="13">
        <v>387411.78</v>
      </c>
      <c r="R39" s="13">
        <f>Q39</f>
        <v>387411.78</v>
      </c>
      <c r="S39" s="13">
        <v>18222.759999999998</v>
      </c>
      <c r="T39" s="13">
        <v>496371.47</v>
      </c>
      <c r="U39" s="13">
        <f>T39</f>
        <v>496371.47</v>
      </c>
      <c r="V39" s="13">
        <v>21509.68</v>
      </c>
      <c r="W39" s="13">
        <f>V39</f>
        <v>21509.68</v>
      </c>
      <c r="X39" s="13"/>
      <c r="Y39" s="13">
        <v>0</v>
      </c>
      <c r="Z39" s="13">
        <v>0</v>
      </c>
      <c r="AA39" s="13">
        <v>0</v>
      </c>
      <c r="AB39" s="13">
        <v>3507.55</v>
      </c>
      <c r="AC39" s="13">
        <v>26682.02</v>
      </c>
      <c r="AD39" s="13">
        <f t="shared" si="8"/>
        <v>30189.57</v>
      </c>
      <c r="AE39" s="13">
        <f t="shared" si="9"/>
        <v>3507.55</v>
      </c>
      <c r="AF39" s="52">
        <f t="shared" si="57"/>
        <v>30189.57</v>
      </c>
      <c r="AG39" s="52">
        <v>0</v>
      </c>
      <c r="AH39" s="12">
        <f t="shared" si="58"/>
        <v>30189.57</v>
      </c>
      <c r="AI39" s="52">
        <v>0</v>
      </c>
      <c r="AJ39" s="13" t="e">
        <f>AD39-#REF!</f>
        <v>#REF!</v>
      </c>
      <c r="AK39" s="12" t="e">
        <f>IF(#REF!=0,0,AD39/#REF!*100)</f>
        <v>#REF!</v>
      </c>
      <c r="AL39" s="52">
        <f t="shared" si="10"/>
        <v>30189.57</v>
      </c>
      <c r="AM39" s="52">
        <v>0</v>
      </c>
      <c r="AN39" s="13">
        <f t="shared" si="12"/>
        <v>8679.89</v>
      </c>
      <c r="AO39" s="52">
        <f t="shared" si="14"/>
        <v>140.35341297499545</v>
      </c>
      <c r="AP39" s="12">
        <f t="shared" ref="AP39:AP53" si="59">AD39-M39</f>
        <v>-594257.91</v>
      </c>
      <c r="AQ39" s="12">
        <f t="shared" ref="AQ39:AQ53" si="60">IF(M39=0,0,AD39/M39*100)</f>
        <v>4.8346051456561252</v>
      </c>
      <c r="AR39" s="37">
        <f>AD39</f>
        <v>30189.57</v>
      </c>
    </row>
    <row r="40" spans="1:46" s="10" customFormat="1" ht="60" customHeight="1" x14ac:dyDescent="0.3">
      <c r="A40" s="9"/>
      <c r="B40" s="100" t="s">
        <v>11</v>
      </c>
      <c r="C40" s="100"/>
      <c r="D40" s="100"/>
      <c r="E40" s="100"/>
      <c r="F40" s="100"/>
      <c r="G40" s="100"/>
      <c r="H40" s="100"/>
      <c r="I40" s="100"/>
      <c r="J40" s="12">
        <f t="shared" ref="J40:AB40" si="61">J41+J42</f>
        <v>4290634.29</v>
      </c>
      <c r="K40" s="12">
        <f t="shared" si="61"/>
        <v>4290634.29</v>
      </c>
      <c r="L40" s="12">
        <f t="shared" si="61"/>
        <v>3198289.13</v>
      </c>
      <c r="M40" s="12">
        <f t="shared" si="61"/>
        <v>3198289.13</v>
      </c>
      <c r="N40" s="12">
        <f t="shared" si="61"/>
        <v>3516712.9</v>
      </c>
      <c r="O40" s="12">
        <f t="shared" si="61"/>
        <v>4112775.06</v>
      </c>
      <c r="P40" s="12">
        <f t="shared" si="61"/>
        <v>4112775.06</v>
      </c>
      <c r="Q40" s="12">
        <v>4112775.06</v>
      </c>
      <c r="R40" s="12">
        <f t="shared" si="61"/>
        <v>4112775.06</v>
      </c>
      <c r="S40" s="12">
        <f t="shared" ref="S40:U40" si="62">S41+S42</f>
        <v>5158755</v>
      </c>
      <c r="T40" s="12">
        <f t="shared" si="62"/>
        <v>5158759.0599999996</v>
      </c>
      <c r="U40" s="12">
        <f t="shared" si="62"/>
        <v>5158759.0599999996</v>
      </c>
      <c r="V40" s="12">
        <f t="shared" ref="V40:X40" si="63">V41+V42</f>
        <v>467280.65</v>
      </c>
      <c r="W40" s="12">
        <f t="shared" si="63"/>
        <v>467280.65</v>
      </c>
      <c r="X40" s="12">
        <f t="shared" si="63"/>
        <v>132000</v>
      </c>
      <c r="Y40" s="12">
        <f t="shared" si="61"/>
        <v>132000</v>
      </c>
      <c r="Z40" s="12">
        <f t="shared" si="61"/>
        <v>0</v>
      </c>
      <c r="AA40" s="12">
        <f t="shared" ref="AA40" si="64">AA41+AA42</f>
        <v>57100</v>
      </c>
      <c r="AB40" s="12">
        <f t="shared" si="61"/>
        <v>30808.639999999999</v>
      </c>
      <c r="AC40" s="12">
        <v>172328.8</v>
      </c>
      <c r="AD40" s="12">
        <f t="shared" si="8"/>
        <v>203137.44</v>
      </c>
      <c r="AE40" s="12">
        <f t="shared" si="9"/>
        <v>-26291.360000000001</v>
      </c>
      <c r="AF40" s="52">
        <f t="shared" si="57"/>
        <v>71137.440000000002</v>
      </c>
      <c r="AG40" s="52">
        <f t="shared" ref="AG40:AG52" si="65">AD40/X40*100</f>
        <v>153.892</v>
      </c>
      <c r="AH40" s="12">
        <f t="shared" si="58"/>
        <v>71137.440000000002</v>
      </c>
      <c r="AI40" s="52">
        <f t="shared" si="13"/>
        <v>153.892</v>
      </c>
      <c r="AJ40" s="12" t="e">
        <f>AD40-#REF!</f>
        <v>#REF!</v>
      </c>
      <c r="AK40" s="12" t="e">
        <f>IF(#REF!=0,0,AD40/#REF!*100)</f>
        <v>#REF!</v>
      </c>
      <c r="AL40" s="52">
        <f t="shared" si="10"/>
        <v>203137.44</v>
      </c>
      <c r="AM40" s="52">
        <v>0</v>
      </c>
      <c r="AN40" s="12">
        <f t="shared" si="12"/>
        <v>-264143.21000000002</v>
      </c>
      <c r="AO40" s="52">
        <v>0</v>
      </c>
      <c r="AP40" s="12">
        <f t="shared" si="59"/>
        <v>-2995151.69</v>
      </c>
      <c r="AQ40" s="12">
        <f t="shared" si="60"/>
        <v>6.3514407779636866</v>
      </c>
      <c r="AR40" s="40">
        <f t="shared" ref="AR40" si="66">AR41+AR42</f>
        <v>203137.44</v>
      </c>
    </row>
    <row r="41" spans="1:46" s="5" customFormat="1" ht="63" customHeight="1" x14ac:dyDescent="0.3">
      <c r="A41" s="4"/>
      <c r="B41" s="105" t="s">
        <v>39</v>
      </c>
      <c r="C41" s="105"/>
      <c r="D41" s="105"/>
      <c r="E41" s="105"/>
      <c r="F41" s="105"/>
      <c r="G41" s="105"/>
      <c r="H41" s="105"/>
      <c r="I41" s="105"/>
      <c r="J41" s="13">
        <v>163530</v>
      </c>
      <c r="K41" s="13">
        <f t="shared" ref="K41:K44" si="67">J41</f>
        <v>163530</v>
      </c>
      <c r="L41" s="13">
        <v>0</v>
      </c>
      <c r="M41" s="13">
        <f t="shared" ref="M41:M44" si="68">L41</f>
        <v>0</v>
      </c>
      <c r="N41" s="13">
        <v>762433</v>
      </c>
      <c r="O41" s="13">
        <v>763713</v>
      </c>
      <c r="P41" s="13">
        <f t="shared" ref="P41:P44" si="69">O41</f>
        <v>763713</v>
      </c>
      <c r="Q41" s="13">
        <v>763713</v>
      </c>
      <c r="R41" s="13">
        <f t="shared" ref="R41:R43" si="70">Q41</f>
        <v>763713</v>
      </c>
      <c r="S41" s="13">
        <v>17475</v>
      </c>
      <c r="T41" s="13">
        <v>17475</v>
      </c>
      <c r="U41" s="13">
        <f t="shared" ref="U41:W44" si="71">T41</f>
        <v>17475</v>
      </c>
      <c r="V41" s="13">
        <v>0</v>
      </c>
      <c r="W41" s="13">
        <f t="shared" si="71"/>
        <v>0</v>
      </c>
      <c r="X41" s="13">
        <v>132000</v>
      </c>
      <c r="Y41" s="13">
        <v>132000</v>
      </c>
      <c r="Z41" s="13">
        <v>0</v>
      </c>
      <c r="AA41" s="13">
        <v>0</v>
      </c>
      <c r="AB41" s="13">
        <v>0</v>
      </c>
      <c r="AC41" s="13">
        <v>5228.8</v>
      </c>
      <c r="AD41" s="13">
        <f t="shared" si="8"/>
        <v>5228.8</v>
      </c>
      <c r="AE41" s="13">
        <f t="shared" si="9"/>
        <v>0</v>
      </c>
      <c r="AF41" s="52">
        <f t="shared" si="57"/>
        <v>-126771.2</v>
      </c>
      <c r="AG41" s="52">
        <f t="shared" si="65"/>
        <v>3.9612121212121219</v>
      </c>
      <c r="AH41" s="12">
        <f t="shared" si="58"/>
        <v>-126771.2</v>
      </c>
      <c r="AI41" s="52">
        <f t="shared" si="13"/>
        <v>3.9612121212121214</v>
      </c>
      <c r="AJ41" s="13" t="e">
        <f>AD41-#REF!</f>
        <v>#REF!</v>
      </c>
      <c r="AK41" s="12" t="e">
        <f>IF(#REF!=0,0,AD41/#REF!*100)</f>
        <v>#REF!</v>
      </c>
      <c r="AL41" s="52">
        <f t="shared" si="10"/>
        <v>5228.8</v>
      </c>
      <c r="AM41" s="52">
        <v>0</v>
      </c>
      <c r="AN41" s="13">
        <f t="shared" si="12"/>
        <v>5228.8</v>
      </c>
      <c r="AO41" s="52">
        <v>0</v>
      </c>
      <c r="AP41" s="12">
        <f t="shared" si="59"/>
        <v>5228.8</v>
      </c>
      <c r="AQ41" s="12">
        <f t="shared" si="60"/>
        <v>0</v>
      </c>
      <c r="AR41" s="37">
        <f>AD41</f>
        <v>5228.8</v>
      </c>
    </row>
    <row r="42" spans="1:46" s="5" customFormat="1" ht="65.25" customHeight="1" x14ac:dyDescent="0.3">
      <c r="A42" s="4"/>
      <c r="B42" s="105" t="s">
        <v>10</v>
      </c>
      <c r="C42" s="105"/>
      <c r="D42" s="105"/>
      <c r="E42" s="105"/>
      <c r="F42" s="105"/>
      <c r="G42" s="105"/>
      <c r="H42" s="105"/>
      <c r="I42" s="105"/>
      <c r="J42" s="13">
        <v>4127104.29</v>
      </c>
      <c r="K42" s="13">
        <f t="shared" si="67"/>
        <v>4127104.29</v>
      </c>
      <c r="L42" s="13">
        <v>3198289.13</v>
      </c>
      <c r="M42" s="13">
        <f t="shared" si="68"/>
        <v>3198289.13</v>
      </c>
      <c r="N42" s="13">
        <v>2754279.9</v>
      </c>
      <c r="O42" s="13">
        <v>3349062.06</v>
      </c>
      <c r="P42" s="13">
        <f t="shared" si="69"/>
        <v>3349062.06</v>
      </c>
      <c r="Q42" s="13">
        <v>3349062.06</v>
      </c>
      <c r="R42" s="13">
        <f t="shared" si="70"/>
        <v>3349062.06</v>
      </c>
      <c r="S42" s="13">
        <v>5141280</v>
      </c>
      <c r="T42" s="13">
        <v>5141284.0599999996</v>
      </c>
      <c r="U42" s="13">
        <f t="shared" si="71"/>
        <v>5141284.0599999996</v>
      </c>
      <c r="V42" s="13">
        <v>467280.65</v>
      </c>
      <c r="W42" s="13">
        <f t="shared" si="71"/>
        <v>467280.65</v>
      </c>
      <c r="X42" s="13">
        <v>0</v>
      </c>
      <c r="Y42" s="13">
        <v>0</v>
      </c>
      <c r="Z42" s="13">
        <v>0</v>
      </c>
      <c r="AA42" s="13">
        <v>57100</v>
      </c>
      <c r="AB42" s="13">
        <v>30808.639999999999</v>
      </c>
      <c r="AC42" s="13">
        <v>167100</v>
      </c>
      <c r="AD42" s="13">
        <f t="shared" si="8"/>
        <v>197908.64</v>
      </c>
      <c r="AE42" s="13">
        <f t="shared" si="9"/>
        <v>-26291.360000000001</v>
      </c>
      <c r="AF42" s="52">
        <f t="shared" si="57"/>
        <v>197908.64</v>
      </c>
      <c r="AG42" s="52">
        <v>0</v>
      </c>
      <c r="AH42" s="12">
        <f t="shared" si="58"/>
        <v>197908.64</v>
      </c>
      <c r="AI42" s="52">
        <v>0</v>
      </c>
      <c r="AJ42" s="13" t="e">
        <f>AD42-#REF!</f>
        <v>#REF!</v>
      </c>
      <c r="AK42" s="12" t="e">
        <f>IF(#REF!=0,0,AD42/#REF!*100)</f>
        <v>#REF!</v>
      </c>
      <c r="AL42" s="52">
        <f t="shared" si="10"/>
        <v>197908.64</v>
      </c>
      <c r="AM42" s="52">
        <v>0</v>
      </c>
      <c r="AN42" s="13">
        <f t="shared" si="12"/>
        <v>-269372.01</v>
      </c>
      <c r="AO42" s="52">
        <v>0</v>
      </c>
      <c r="AP42" s="12">
        <f t="shared" si="59"/>
        <v>-3000380.4899999998</v>
      </c>
      <c r="AQ42" s="12">
        <f t="shared" si="60"/>
        <v>6.1879533699318801</v>
      </c>
      <c r="AR42" s="37">
        <f>AD42</f>
        <v>197908.64</v>
      </c>
    </row>
    <row r="43" spans="1:46" s="10" customFormat="1" ht="39.75" customHeight="1" x14ac:dyDescent="0.3">
      <c r="A43" s="9"/>
      <c r="B43" s="100" t="s">
        <v>9</v>
      </c>
      <c r="C43" s="100"/>
      <c r="D43" s="100"/>
      <c r="E43" s="100"/>
      <c r="F43" s="100"/>
      <c r="G43" s="100"/>
      <c r="H43" s="100"/>
      <c r="I43" s="100"/>
      <c r="J43" s="12">
        <v>2338187.02</v>
      </c>
      <c r="K43" s="12">
        <f t="shared" si="67"/>
        <v>2338187.02</v>
      </c>
      <c r="L43" s="12">
        <v>974257.27</v>
      </c>
      <c r="M43" s="12">
        <f t="shared" si="68"/>
        <v>974257.27</v>
      </c>
      <c r="N43" s="12">
        <v>2799320.03</v>
      </c>
      <c r="O43" s="12">
        <v>3055345.14</v>
      </c>
      <c r="P43" s="12">
        <f t="shared" si="69"/>
        <v>3055345.14</v>
      </c>
      <c r="Q43" s="12">
        <v>3055345.14</v>
      </c>
      <c r="R43" s="12">
        <f t="shared" si="70"/>
        <v>3055345.14</v>
      </c>
      <c r="S43" s="12">
        <v>3596607.46</v>
      </c>
      <c r="T43" s="12">
        <v>3652993.79</v>
      </c>
      <c r="U43" s="12">
        <f t="shared" si="71"/>
        <v>3652993.79</v>
      </c>
      <c r="V43" s="12">
        <v>108361.19</v>
      </c>
      <c r="W43" s="12">
        <f t="shared" si="71"/>
        <v>108361.19</v>
      </c>
      <c r="X43" s="12">
        <v>1249470</v>
      </c>
      <c r="Y43" s="12">
        <v>1249470</v>
      </c>
      <c r="Z43" s="12">
        <v>76515</v>
      </c>
      <c r="AA43" s="12">
        <v>5441.12</v>
      </c>
      <c r="AB43" s="12">
        <v>25780.42</v>
      </c>
      <c r="AC43" s="12">
        <v>62692.479999999996</v>
      </c>
      <c r="AD43" s="12">
        <f t="shared" si="8"/>
        <v>88472.9</v>
      </c>
      <c r="AE43" s="12">
        <f t="shared" si="9"/>
        <v>20339.3</v>
      </c>
      <c r="AF43" s="52">
        <f t="shared" si="57"/>
        <v>-1160997.1000000001</v>
      </c>
      <c r="AG43" s="52">
        <f t="shared" si="65"/>
        <v>7.0808342737320622</v>
      </c>
      <c r="AH43" s="12">
        <f t="shared" si="58"/>
        <v>-1160997.1000000001</v>
      </c>
      <c r="AI43" s="52">
        <f t="shared" si="13"/>
        <v>7.0808342737320613</v>
      </c>
      <c r="AJ43" s="12" t="e">
        <f>AD43-#REF!</f>
        <v>#REF!</v>
      </c>
      <c r="AK43" s="12" t="e">
        <f>IF(#REF!=0,0,AD43/#REF!*100)</f>
        <v>#REF!</v>
      </c>
      <c r="AL43" s="52">
        <f t="shared" si="10"/>
        <v>11957.899999999994</v>
      </c>
      <c r="AM43" s="52">
        <f t="shared" si="11"/>
        <v>115.62817748153955</v>
      </c>
      <c r="AN43" s="12">
        <f t="shared" si="12"/>
        <v>-19888.290000000008</v>
      </c>
      <c r="AO43" s="52">
        <f t="shared" si="14"/>
        <v>81.646297904258887</v>
      </c>
      <c r="AP43" s="12">
        <f t="shared" si="59"/>
        <v>-885784.37</v>
      </c>
      <c r="AQ43" s="12">
        <f t="shared" si="60"/>
        <v>9.081061309401365</v>
      </c>
      <c r="AR43" s="40">
        <f>AD43</f>
        <v>88472.9</v>
      </c>
    </row>
    <row r="44" spans="1:46" s="23" customFormat="1" ht="30" customHeight="1" x14ac:dyDescent="0.3">
      <c r="A44" s="20"/>
      <c r="B44" s="21"/>
      <c r="C44" s="21"/>
      <c r="D44" s="21"/>
      <c r="E44" s="21"/>
      <c r="F44" s="21"/>
      <c r="G44" s="21"/>
      <c r="H44" s="21"/>
      <c r="I44" s="22" t="s">
        <v>48</v>
      </c>
      <c r="J44" s="17">
        <v>256536.06</v>
      </c>
      <c r="K44" s="17">
        <f t="shared" si="67"/>
        <v>256536.06</v>
      </c>
      <c r="L44" s="17">
        <v>109317.03</v>
      </c>
      <c r="M44" s="17">
        <f t="shared" si="68"/>
        <v>109317.03</v>
      </c>
      <c r="N44" s="17">
        <v>210726.7</v>
      </c>
      <c r="O44" s="27">
        <f>221100.64+0.02+606.42</f>
        <v>221707.08000000002</v>
      </c>
      <c r="P44" s="17">
        <f t="shared" si="69"/>
        <v>221707.08000000002</v>
      </c>
      <c r="Q44" s="17">
        <v>221707.08000000002</v>
      </c>
      <c r="R44" s="17">
        <f>Q44</f>
        <v>221707.08000000002</v>
      </c>
      <c r="S44" s="27">
        <v>295493.67</v>
      </c>
      <c r="T44" s="27">
        <v>303043.07</v>
      </c>
      <c r="U44" s="17">
        <f t="shared" si="71"/>
        <v>303043.07</v>
      </c>
      <c r="V44" s="27">
        <v>23969.119999999999</v>
      </c>
      <c r="W44" s="17">
        <f t="shared" si="71"/>
        <v>23969.119999999999</v>
      </c>
      <c r="X44" s="27">
        <v>336190</v>
      </c>
      <c r="Y44" s="27">
        <v>336190</v>
      </c>
      <c r="Z44" s="27">
        <v>38000</v>
      </c>
      <c r="AA44" s="27">
        <v>1100</v>
      </c>
      <c r="AB44" s="27">
        <v>12600</v>
      </c>
      <c r="AC44" s="27">
        <v>20716.599999999999</v>
      </c>
      <c r="AD44" s="27">
        <f t="shared" si="8"/>
        <v>33316.6</v>
      </c>
      <c r="AE44" s="17">
        <f t="shared" si="9"/>
        <v>11500</v>
      </c>
      <c r="AF44" s="52">
        <f t="shared" si="57"/>
        <v>-302873.40000000002</v>
      </c>
      <c r="AG44" s="52">
        <f t="shared" si="65"/>
        <v>9.9100508640947069</v>
      </c>
      <c r="AH44" s="12">
        <f t="shared" si="58"/>
        <v>-302873.40000000002</v>
      </c>
      <c r="AI44" s="52">
        <f t="shared" si="13"/>
        <v>9.9100508640947069</v>
      </c>
      <c r="AJ44" s="13" t="e">
        <f>AD44-#REF!</f>
        <v>#REF!</v>
      </c>
      <c r="AK44" s="12" t="e">
        <f>IF(#REF!=0,0,AD44/#REF!*100)</f>
        <v>#REF!</v>
      </c>
      <c r="AL44" s="52">
        <f t="shared" si="10"/>
        <v>-4683.4000000000015</v>
      </c>
      <c r="AM44" s="52">
        <f t="shared" si="11"/>
        <v>87.675263157894733</v>
      </c>
      <c r="AN44" s="13">
        <f t="shared" si="12"/>
        <v>9347.48</v>
      </c>
      <c r="AO44" s="52">
        <f t="shared" si="14"/>
        <v>138.99801077386238</v>
      </c>
      <c r="AP44" s="12">
        <f t="shared" si="59"/>
        <v>-76000.429999999993</v>
      </c>
      <c r="AQ44" s="12">
        <f t="shared" si="60"/>
        <v>30.477044610524086</v>
      </c>
      <c r="AR44" s="37">
        <f>AD44</f>
        <v>33316.6</v>
      </c>
      <c r="AT44" s="27"/>
    </row>
    <row r="45" spans="1:46" s="10" customFormat="1" ht="36.75" customHeight="1" x14ac:dyDescent="0.3">
      <c r="A45" s="9"/>
      <c r="B45" s="100" t="s">
        <v>7</v>
      </c>
      <c r="C45" s="100"/>
      <c r="D45" s="100"/>
      <c r="E45" s="100"/>
      <c r="F45" s="100"/>
      <c r="G45" s="100"/>
      <c r="H45" s="100"/>
      <c r="I45" s="100"/>
      <c r="J45" s="12">
        <f t="shared" ref="J45:AB45" si="72">J46+J47</f>
        <v>1294662.3799999999</v>
      </c>
      <c r="K45" s="12">
        <f t="shared" si="72"/>
        <v>5832860.8300000001</v>
      </c>
      <c r="L45" s="12">
        <f t="shared" si="72"/>
        <v>389278.05</v>
      </c>
      <c r="M45" s="12">
        <f t="shared" si="72"/>
        <v>2188259.5</v>
      </c>
      <c r="N45" s="12">
        <f t="shared" si="72"/>
        <v>2895802</v>
      </c>
      <c r="O45" s="12">
        <f t="shared" si="72"/>
        <v>4075696.4</v>
      </c>
      <c r="P45" s="12">
        <f t="shared" si="72"/>
        <v>4075696.4</v>
      </c>
      <c r="Q45" s="12">
        <v>4075696.4</v>
      </c>
      <c r="R45" s="12">
        <f t="shared" ref="R45:AA45" si="73">R46+R47</f>
        <v>4075696.4</v>
      </c>
      <c r="S45" s="12">
        <f t="shared" ref="S45" si="74">S46+S47</f>
        <v>2424483.5099999998</v>
      </c>
      <c r="T45" s="12">
        <f>T46+T47</f>
        <v>2445600.71</v>
      </c>
      <c r="U45" s="12">
        <f t="shared" ref="U45:V45" si="75">U46+U47</f>
        <v>2445600.71</v>
      </c>
      <c r="V45" s="12">
        <f t="shared" si="75"/>
        <v>984068.95</v>
      </c>
      <c r="W45" s="12">
        <f t="shared" ref="W45:X45" si="76">W46+W47</f>
        <v>984068.95</v>
      </c>
      <c r="X45" s="12">
        <f t="shared" si="76"/>
        <v>2715689.65</v>
      </c>
      <c r="Y45" s="12">
        <f t="shared" si="73"/>
        <v>4538198.45</v>
      </c>
      <c r="Z45" s="12">
        <f t="shared" si="73"/>
        <v>1622508.8</v>
      </c>
      <c r="AA45" s="12">
        <f t="shared" si="73"/>
        <v>318660.71000000002</v>
      </c>
      <c r="AB45" s="12">
        <f t="shared" si="72"/>
        <v>431259.8</v>
      </c>
      <c r="AC45" s="12">
        <v>1406281.46</v>
      </c>
      <c r="AD45" s="12">
        <f t="shared" si="8"/>
        <v>1837541.26</v>
      </c>
      <c r="AE45" s="12">
        <f t="shared" si="9"/>
        <v>112599.08999999997</v>
      </c>
      <c r="AF45" s="52">
        <f t="shared" si="57"/>
        <v>-878148.3899999999</v>
      </c>
      <c r="AG45" s="52">
        <f t="shared" si="65"/>
        <v>67.663890091417471</v>
      </c>
      <c r="AH45" s="12">
        <f t="shared" si="58"/>
        <v>-2700657.1900000004</v>
      </c>
      <c r="AI45" s="52">
        <f t="shared" si="13"/>
        <v>40.490544436195826</v>
      </c>
      <c r="AJ45" s="12" t="e">
        <f>AD45-#REF!</f>
        <v>#REF!</v>
      </c>
      <c r="AK45" s="12" t="e">
        <f>IF(#REF!=0,0,AD45/#REF!*100)</f>
        <v>#REF!</v>
      </c>
      <c r="AL45" s="52">
        <f t="shared" si="10"/>
        <v>215032.45999999996</v>
      </c>
      <c r="AM45" s="52">
        <v>0</v>
      </c>
      <c r="AN45" s="12">
        <f t="shared" si="12"/>
        <v>853472.31</v>
      </c>
      <c r="AO45" s="52">
        <f t="shared" si="14"/>
        <v>186.72891365996253</v>
      </c>
      <c r="AP45" s="12">
        <f t="shared" si="59"/>
        <v>-350718.24</v>
      </c>
      <c r="AQ45" s="12">
        <f t="shared" si="60"/>
        <v>83.972730839281169</v>
      </c>
      <c r="AR45" s="40">
        <f t="shared" ref="AR45" si="77">AR46+AR47</f>
        <v>4394111.8099999996</v>
      </c>
    </row>
    <row r="46" spans="1:46" s="5" customFormat="1" ht="23.25" customHeight="1" x14ac:dyDescent="0.3">
      <c r="A46" s="4"/>
      <c r="B46" s="47"/>
      <c r="C46" s="47"/>
      <c r="D46" s="47"/>
      <c r="E46" s="47"/>
      <c r="F46" s="47"/>
      <c r="G46" s="47"/>
      <c r="H46" s="47"/>
      <c r="I46" s="47" t="s">
        <v>52</v>
      </c>
      <c r="J46" s="13">
        <v>1294662.3799999999</v>
      </c>
      <c r="K46" s="13">
        <f>J46</f>
        <v>1294662.3799999999</v>
      </c>
      <c r="L46" s="13">
        <v>389278.05</v>
      </c>
      <c r="M46" s="13">
        <f>L46</f>
        <v>389278.05</v>
      </c>
      <c r="N46" s="13">
        <v>0</v>
      </c>
      <c r="O46" s="13">
        <v>1151029.3999999999</v>
      </c>
      <c r="P46" s="13">
        <f>O46</f>
        <v>1151029.3999999999</v>
      </c>
      <c r="Q46" s="13">
        <v>1151029.3999999999</v>
      </c>
      <c r="R46" s="13">
        <f>Q46</f>
        <v>1151029.3999999999</v>
      </c>
      <c r="S46" s="13">
        <v>144600</v>
      </c>
      <c r="T46" s="13">
        <v>165717.20000000001</v>
      </c>
      <c r="U46" s="13">
        <f>T46</f>
        <v>165717.20000000001</v>
      </c>
      <c r="V46" s="13">
        <f>173419.55+48880.9</f>
        <v>222300.44999999998</v>
      </c>
      <c r="W46" s="13">
        <f>V46</f>
        <v>222300.44999999998</v>
      </c>
      <c r="X46" s="13">
        <v>0</v>
      </c>
      <c r="Y46" s="13">
        <v>0</v>
      </c>
      <c r="Z46" s="13">
        <v>0</v>
      </c>
      <c r="AA46" s="13">
        <f>19560.71+2500</f>
        <v>22060.71</v>
      </c>
      <c r="AB46" s="13">
        <v>16795.349999999999</v>
      </c>
      <c r="AC46" s="13">
        <v>21764.46</v>
      </c>
      <c r="AD46" s="13">
        <f t="shared" si="8"/>
        <v>38559.81</v>
      </c>
      <c r="AE46" s="17">
        <f t="shared" si="9"/>
        <v>-5265.3600000000006</v>
      </c>
      <c r="AF46" s="52">
        <f t="shared" si="57"/>
        <v>38559.81</v>
      </c>
      <c r="AG46" s="52">
        <v>0</v>
      </c>
      <c r="AH46" s="12">
        <f t="shared" si="58"/>
        <v>38559.81</v>
      </c>
      <c r="AI46" s="52">
        <v>0</v>
      </c>
      <c r="AJ46" s="13" t="e">
        <f>AD46-#REF!</f>
        <v>#REF!</v>
      </c>
      <c r="AK46" s="12" t="e">
        <f>IF(#REF!=0,0,AD46/#REF!*100)</f>
        <v>#REF!</v>
      </c>
      <c r="AL46" s="52">
        <f t="shared" si="10"/>
        <v>38559.81</v>
      </c>
      <c r="AM46" s="52">
        <v>0</v>
      </c>
      <c r="AN46" s="13">
        <f t="shared" si="12"/>
        <v>-183740.63999999998</v>
      </c>
      <c r="AO46" s="52">
        <f t="shared" si="14"/>
        <v>17.345808341818469</v>
      </c>
      <c r="AP46" s="12">
        <f t="shared" si="59"/>
        <v>-350718.24</v>
      </c>
      <c r="AQ46" s="12">
        <f t="shared" si="60"/>
        <v>9.9054673131454489</v>
      </c>
      <c r="AR46" s="37">
        <f>AD46</f>
        <v>38559.81</v>
      </c>
    </row>
    <row r="47" spans="1:46" s="5" customFormat="1" ht="28.5" customHeight="1" x14ac:dyDescent="0.3">
      <c r="A47" s="4"/>
      <c r="B47" s="47"/>
      <c r="C47" s="47"/>
      <c r="D47" s="47"/>
      <c r="E47" s="47"/>
      <c r="F47" s="47"/>
      <c r="G47" s="47"/>
      <c r="H47" s="47"/>
      <c r="I47" s="47" t="s">
        <v>51</v>
      </c>
      <c r="J47" s="13">
        <v>0</v>
      </c>
      <c r="K47" s="26">
        <f>Y47</f>
        <v>4538198.45</v>
      </c>
      <c r="L47" s="13">
        <v>0</v>
      </c>
      <c r="M47" s="44">
        <f>AD47</f>
        <v>1798981.45</v>
      </c>
      <c r="N47" s="13">
        <v>2895802</v>
      </c>
      <c r="O47" s="13">
        <v>2924667</v>
      </c>
      <c r="P47" s="13">
        <f>O47</f>
        <v>2924667</v>
      </c>
      <c r="Q47" s="13">
        <v>2924667</v>
      </c>
      <c r="R47" s="13">
        <f>Q47</f>
        <v>2924667</v>
      </c>
      <c r="S47" s="13">
        <v>2279883.5099999998</v>
      </c>
      <c r="T47" s="13">
        <v>2279883.5099999998</v>
      </c>
      <c r="U47" s="13">
        <f>T47</f>
        <v>2279883.5099999998</v>
      </c>
      <c r="V47" s="13">
        <v>761768.5</v>
      </c>
      <c r="W47" s="13">
        <f>V47</f>
        <v>761768.5</v>
      </c>
      <c r="X47" s="13">
        <v>2715689.65</v>
      </c>
      <c r="Y47" s="13">
        <v>4538198.45</v>
      </c>
      <c r="Z47" s="13">
        <v>1622508.8</v>
      </c>
      <c r="AA47" s="13">
        <v>296600</v>
      </c>
      <c r="AB47" s="13">
        <v>414464.45</v>
      </c>
      <c r="AC47" s="13">
        <v>1384517</v>
      </c>
      <c r="AD47" s="13">
        <f t="shared" si="8"/>
        <v>1798981.45</v>
      </c>
      <c r="AE47" s="17">
        <f t="shared" si="9"/>
        <v>117864.45000000001</v>
      </c>
      <c r="AF47" s="52">
        <f t="shared" si="57"/>
        <v>-916708.2</v>
      </c>
      <c r="AG47" s="52">
        <f t="shared" si="65"/>
        <v>66.243999935706938</v>
      </c>
      <c r="AH47" s="12">
        <f t="shared" si="58"/>
        <v>-2739217</v>
      </c>
      <c r="AI47" s="52">
        <f t="shared" si="13"/>
        <v>39.640872249647877</v>
      </c>
      <c r="AJ47" s="13" t="e">
        <f>AD47-#REF!</f>
        <v>#REF!</v>
      </c>
      <c r="AK47" s="12" t="e">
        <f>IF(#REF!=0,0,AD47/#REF!*100)</f>
        <v>#REF!</v>
      </c>
      <c r="AL47" s="52">
        <f t="shared" si="10"/>
        <v>176472.64999999991</v>
      </c>
      <c r="AM47" s="52">
        <v>0</v>
      </c>
      <c r="AN47" s="13">
        <f t="shared" si="12"/>
        <v>1037212.95</v>
      </c>
      <c r="AO47" s="52">
        <v>0</v>
      </c>
      <c r="AP47" s="12">
        <f t="shared" si="59"/>
        <v>0</v>
      </c>
      <c r="AQ47" s="12">
        <f t="shared" si="60"/>
        <v>100</v>
      </c>
      <c r="AR47" s="37">
        <f>5544443-1188891</f>
        <v>4355552</v>
      </c>
    </row>
    <row r="48" spans="1:46" s="10" customFormat="1" ht="23.25" customHeight="1" x14ac:dyDescent="0.3">
      <c r="A48" s="9"/>
      <c r="B48" s="100" t="s">
        <v>1</v>
      </c>
      <c r="C48" s="100"/>
      <c r="D48" s="100"/>
      <c r="E48" s="100"/>
      <c r="F48" s="100"/>
      <c r="G48" s="100"/>
      <c r="H48" s="100"/>
      <c r="I48" s="100"/>
      <c r="J48" s="12">
        <f t="shared" ref="J48:Z48" si="78">J49+J50+J51+J52+J53+J55+J56</f>
        <v>1731743649.9200001</v>
      </c>
      <c r="K48" s="12">
        <f t="shared" si="78"/>
        <v>1726065816.5200002</v>
      </c>
      <c r="L48" s="30">
        <f t="shared" si="78"/>
        <v>754564037.68999994</v>
      </c>
      <c r="M48" s="30">
        <f t="shared" si="78"/>
        <v>750829669.28999996</v>
      </c>
      <c r="N48" s="12">
        <f t="shared" si="78"/>
        <v>1949401304.4499998</v>
      </c>
      <c r="O48" s="12">
        <f t="shared" si="78"/>
        <v>1942881158.9100001</v>
      </c>
      <c r="P48" s="12">
        <f t="shared" si="78"/>
        <v>1942881158.9100001</v>
      </c>
      <c r="Q48" s="12">
        <v>1942881158.9100001</v>
      </c>
      <c r="R48" s="12">
        <f t="shared" si="78"/>
        <v>1942881158.9100001</v>
      </c>
      <c r="S48" s="12">
        <f t="shared" ref="S48" si="79">S49+S50+S51+S52+S53+S55+S56</f>
        <v>2103801442.3299999</v>
      </c>
      <c r="T48" s="12">
        <f>T49+T50+T51+T52+T53+T55+T56+T54</f>
        <v>2042920361.22</v>
      </c>
      <c r="U48" s="12">
        <f t="shared" ref="U48:V48" si="80">U49+U50+U51+U52+U53+U55+U56</f>
        <v>2042920361.22</v>
      </c>
      <c r="V48" s="12">
        <f t="shared" si="80"/>
        <v>171373057.40000004</v>
      </c>
      <c r="W48" s="12">
        <f t="shared" ref="W48:X48" si="81">W49+W50+W51+W52+W53+W55+W56</f>
        <v>171373057.40000004</v>
      </c>
      <c r="X48" s="12">
        <f t="shared" si="81"/>
        <v>1741578685.6100001</v>
      </c>
      <c r="Y48" s="12">
        <f t="shared" si="78"/>
        <v>1820962238.5</v>
      </c>
      <c r="Z48" s="12">
        <f t="shared" si="78"/>
        <v>348054809.99000001</v>
      </c>
      <c r="AA48" s="12">
        <f>AA49+AA50+AA51+AA52+AA53+AA55+AA56+AA54</f>
        <v>61581045.020000003</v>
      </c>
      <c r="AB48" s="12">
        <f>AB49+AB50+AB51+AB52+AB53+AB55+AB56+AB54</f>
        <v>43069155.009999998</v>
      </c>
      <c r="AC48" s="12">
        <v>215383015.41000003</v>
      </c>
      <c r="AD48" s="12">
        <f t="shared" si="8"/>
        <v>258452170.42000002</v>
      </c>
      <c r="AE48" s="12">
        <f t="shared" si="9"/>
        <v>-18511890.010000005</v>
      </c>
      <c r="AF48" s="52">
        <f t="shared" si="57"/>
        <v>-1483126515.1900001</v>
      </c>
      <c r="AG48" s="52">
        <f t="shared" si="65"/>
        <v>14.8401087217874</v>
      </c>
      <c r="AH48" s="12">
        <f t="shared" si="58"/>
        <v>-1562510068.0799999</v>
      </c>
      <c r="AI48" s="52">
        <f t="shared" si="13"/>
        <v>14.193164743102935</v>
      </c>
      <c r="AJ48" s="12" t="e">
        <f>AD48-#REF!</f>
        <v>#REF!</v>
      </c>
      <c r="AK48" s="12" t="e">
        <f>IF(#REF!=0,0,AD48/#REF!*100)</f>
        <v>#REF!</v>
      </c>
      <c r="AL48" s="52">
        <f t="shared" si="10"/>
        <v>-89602639.569999993</v>
      </c>
      <c r="AM48" s="52">
        <f t="shared" si="11"/>
        <v>74.256169718621507</v>
      </c>
      <c r="AN48" s="12">
        <f t="shared" si="12"/>
        <v>87079113.019999981</v>
      </c>
      <c r="AO48" s="52">
        <v>0</v>
      </c>
      <c r="AP48" s="12">
        <f t="shared" si="59"/>
        <v>-492377498.86999995</v>
      </c>
      <c r="AQ48" s="12">
        <f t="shared" si="60"/>
        <v>34.422210654567998</v>
      </c>
      <c r="AR48" s="40" t="e">
        <f t="shared" ref="AR48" si="82">AR49+AR50+AR51+AR52+AR53+AR55+AR56</f>
        <v>#REF!</v>
      </c>
    </row>
    <row r="49" spans="1:44" s="10" customFormat="1" ht="38.25" customHeight="1" x14ac:dyDescent="0.3">
      <c r="A49" s="9"/>
      <c r="B49" s="100" t="s">
        <v>6</v>
      </c>
      <c r="C49" s="100"/>
      <c r="D49" s="100"/>
      <c r="E49" s="100"/>
      <c r="F49" s="100"/>
      <c r="G49" s="100"/>
      <c r="H49" s="100"/>
      <c r="I49" s="100"/>
      <c r="J49" s="12">
        <v>426424900</v>
      </c>
      <c r="K49" s="12">
        <f>J49</f>
        <v>426424900</v>
      </c>
      <c r="L49" s="33">
        <v>201489000</v>
      </c>
      <c r="M49" s="33">
        <f>L49</f>
        <v>201489000</v>
      </c>
      <c r="N49" s="12">
        <v>436509000</v>
      </c>
      <c r="O49" s="12">
        <v>436509000</v>
      </c>
      <c r="P49" s="12">
        <f t="shared" ref="P49:P56" si="83">O49</f>
        <v>436509000</v>
      </c>
      <c r="Q49" s="12">
        <v>436509000</v>
      </c>
      <c r="R49" s="12">
        <f t="shared" ref="R49:R56" si="84">Q49</f>
        <v>436509000</v>
      </c>
      <c r="S49" s="12">
        <v>438762000</v>
      </c>
      <c r="T49" s="12">
        <v>438762000</v>
      </c>
      <c r="U49" s="12">
        <f t="shared" ref="U49:W56" si="85">T49</f>
        <v>438762000</v>
      </c>
      <c r="V49" s="12">
        <v>73127000</v>
      </c>
      <c r="W49" s="12">
        <f t="shared" si="85"/>
        <v>73127000</v>
      </c>
      <c r="X49" s="12">
        <v>543282000</v>
      </c>
      <c r="Y49" s="12">
        <v>543282000</v>
      </c>
      <c r="Z49" s="12">
        <v>90547000</v>
      </c>
      <c r="AA49" s="12">
        <v>0</v>
      </c>
      <c r="AB49" s="12">
        <v>17866271</v>
      </c>
      <c r="AC49" s="12">
        <v>72680729</v>
      </c>
      <c r="AD49" s="12">
        <f t="shared" si="8"/>
        <v>90547000</v>
      </c>
      <c r="AE49" s="12">
        <f t="shared" si="9"/>
        <v>17866271</v>
      </c>
      <c r="AF49" s="52">
        <f t="shared" si="57"/>
        <v>-452735000</v>
      </c>
      <c r="AG49" s="52">
        <f t="shared" si="65"/>
        <v>16.666666666666664</v>
      </c>
      <c r="AH49" s="12">
        <f t="shared" si="58"/>
        <v>-452735000</v>
      </c>
      <c r="AI49" s="52">
        <f t="shared" si="13"/>
        <v>16.666666666666668</v>
      </c>
      <c r="AJ49" s="12" t="e">
        <f>AD49-#REF!</f>
        <v>#REF!</v>
      </c>
      <c r="AK49" s="12" t="e">
        <f>IF(#REF!=0,0,AD49/#REF!*100)</f>
        <v>#REF!</v>
      </c>
      <c r="AL49" s="52">
        <f t="shared" si="10"/>
        <v>0</v>
      </c>
      <c r="AM49" s="52">
        <f t="shared" si="11"/>
        <v>100</v>
      </c>
      <c r="AN49" s="12">
        <f t="shared" si="12"/>
        <v>17420000</v>
      </c>
      <c r="AO49" s="52">
        <v>0</v>
      </c>
      <c r="AP49" s="12">
        <f t="shared" si="59"/>
        <v>-110942000</v>
      </c>
      <c r="AQ49" s="12">
        <f t="shared" si="60"/>
        <v>44.938929668617142</v>
      </c>
      <c r="AR49" s="40">
        <v>436509000</v>
      </c>
    </row>
    <row r="50" spans="1:44" s="10" customFormat="1" ht="43.5" customHeight="1" x14ac:dyDescent="0.3">
      <c r="A50" s="9"/>
      <c r="B50" s="100" t="s">
        <v>5</v>
      </c>
      <c r="C50" s="100"/>
      <c r="D50" s="100"/>
      <c r="E50" s="100"/>
      <c r="F50" s="100"/>
      <c r="G50" s="100"/>
      <c r="H50" s="100"/>
      <c r="I50" s="100"/>
      <c r="J50" s="12">
        <v>276999912.48000002</v>
      </c>
      <c r="K50" s="12">
        <f>J50</f>
        <v>276999912.48000002</v>
      </c>
      <c r="L50" s="33">
        <v>68252184.099999994</v>
      </c>
      <c r="M50" s="33">
        <f>L50</f>
        <v>68252184.099999994</v>
      </c>
      <c r="N50" s="12">
        <v>269127448.56</v>
      </c>
      <c r="O50" s="12">
        <v>266680542.02000001</v>
      </c>
      <c r="P50" s="12">
        <f t="shared" si="83"/>
        <v>266680542.02000001</v>
      </c>
      <c r="Q50" s="12">
        <v>266680542.02000001</v>
      </c>
      <c r="R50" s="12">
        <f t="shared" si="84"/>
        <v>266680542.02000001</v>
      </c>
      <c r="S50" s="12">
        <v>334173445.74000001</v>
      </c>
      <c r="T50" s="12">
        <v>272079804.92000002</v>
      </c>
      <c r="U50" s="12">
        <f t="shared" si="85"/>
        <v>272079804.92000002</v>
      </c>
      <c r="V50" s="12">
        <v>428640.76</v>
      </c>
      <c r="W50" s="12">
        <f t="shared" si="85"/>
        <v>428640.76</v>
      </c>
      <c r="X50" s="12">
        <v>164450526.09999999</v>
      </c>
      <c r="Y50" s="12">
        <v>242834078.99000001</v>
      </c>
      <c r="Z50" s="12">
        <v>8218005.7300000004</v>
      </c>
      <c r="AA50" s="12">
        <v>0</v>
      </c>
      <c r="AB50" s="12">
        <v>5519793.2000000002</v>
      </c>
      <c r="AC50" s="12">
        <v>0</v>
      </c>
      <c r="AD50" s="12">
        <f t="shared" si="8"/>
        <v>5519793.2000000002</v>
      </c>
      <c r="AE50" s="12">
        <f t="shared" si="9"/>
        <v>5519793.2000000002</v>
      </c>
      <c r="AF50" s="52">
        <f t="shared" si="57"/>
        <v>-158930732.90000001</v>
      </c>
      <c r="AG50" s="52">
        <f t="shared" si="65"/>
        <v>3.3565068661704935</v>
      </c>
      <c r="AH50" s="12">
        <f t="shared" si="58"/>
        <v>-237314285.79000002</v>
      </c>
      <c r="AI50" s="52">
        <f t="shared" si="13"/>
        <v>2.2730718945866353</v>
      </c>
      <c r="AJ50" s="12" t="e">
        <f>AD50-#REF!</f>
        <v>#REF!</v>
      </c>
      <c r="AK50" s="12" t="e">
        <f>IF(#REF!=0,0,AD50/#REF!*100)</f>
        <v>#REF!</v>
      </c>
      <c r="AL50" s="52">
        <f t="shared" si="10"/>
        <v>-2698212.5300000003</v>
      </c>
      <c r="AM50" s="52">
        <f t="shared" si="11"/>
        <v>67.167064387043212</v>
      </c>
      <c r="AN50" s="12">
        <f t="shared" si="12"/>
        <v>5091152.4400000004</v>
      </c>
      <c r="AO50" s="52">
        <v>0</v>
      </c>
      <c r="AP50" s="12">
        <f t="shared" si="59"/>
        <v>-62732390.899999991</v>
      </c>
      <c r="AQ50" s="12">
        <f t="shared" si="60"/>
        <v>8.0873502771906178</v>
      </c>
      <c r="AR50" s="40" t="e">
        <f>#REF!</f>
        <v>#REF!</v>
      </c>
    </row>
    <row r="51" spans="1:44" s="10" customFormat="1" ht="45" customHeight="1" x14ac:dyDescent="0.3">
      <c r="A51" s="9"/>
      <c r="B51" s="100" t="s">
        <v>4</v>
      </c>
      <c r="C51" s="100"/>
      <c r="D51" s="100"/>
      <c r="E51" s="100"/>
      <c r="F51" s="100"/>
      <c r="G51" s="100"/>
      <c r="H51" s="100"/>
      <c r="I51" s="100"/>
      <c r="J51" s="12">
        <v>1016038865.97</v>
      </c>
      <c r="K51" s="12">
        <f>J51</f>
        <v>1016038865.97</v>
      </c>
      <c r="L51" s="33">
        <v>484498682.12</v>
      </c>
      <c r="M51" s="33">
        <f>L51</f>
        <v>484498682.12</v>
      </c>
      <c r="N51" s="12">
        <v>1212771110.75</v>
      </c>
      <c r="O51" s="12">
        <v>1213354064.45</v>
      </c>
      <c r="P51" s="12">
        <f t="shared" si="83"/>
        <v>1213354064.45</v>
      </c>
      <c r="Q51" s="12">
        <v>1213354064.45</v>
      </c>
      <c r="R51" s="12">
        <f t="shared" si="84"/>
        <v>1213354064.45</v>
      </c>
      <c r="S51" s="12">
        <f>1189020177.56+105547909.8</f>
        <v>1294568087.3599999</v>
      </c>
      <c r="T51" s="12">
        <v>1296521696.0999999</v>
      </c>
      <c r="U51" s="12">
        <f t="shared" si="85"/>
        <v>1296521696.0999999</v>
      </c>
      <c r="V51" s="12">
        <v>184665703.86000001</v>
      </c>
      <c r="W51" s="12">
        <f t="shared" si="85"/>
        <v>184665703.86000001</v>
      </c>
      <c r="X51" s="12">
        <v>1032066181.7</v>
      </c>
      <c r="Y51" s="12">
        <v>1032066181.7</v>
      </c>
      <c r="Z51" s="12">
        <v>249009046.19999999</v>
      </c>
      <c r="AA51" s="12">
        <v>61440665.990000002</v>
      </c>
      <c r="AB51" s="12">
        <v>19683390.809999999</v>
      </c>
      <c r="AC51" s="12">
        <v>143489275.31</v>
      </c>
      <c r="AD51" s="12">
        <f t="shared" si="8"/>
        <v>163172666.12</v>
      </c>
      <c r="AE51" s="12">
        <f t="shared" si="9"/>
        <v>-41757275.180000007</v>
      </c>
      <c r="AF51" s="52">
        <f t="shared" si="57"/>
        <v>-868893515.58000004</v>
      </c>
      <c r="AG51" s="52">
        <f t="shared" si="65"/>
        <v>15.810290949677766</v>
      </c>
      <c r="AH51" s="12">
        <f t="shared" si="58"/>
        <v>-868893515.58000004</v>
      </c>
      <c r="AI51" s="52">
        <f t="shared" si="13"/>
        <v>15.810290949677768</v>
      </c>
      <c r="AJ51" s="12" t="e">
        <f>AD51-#REF!</f>
        <v>#REF!</v>
      </c>
      <c r="AK51" s="12" t="e">
        <f>IF(#REF!=0,0,AD51/#REF!*100)</f>
        <v>#REF!</v>
      </c>
      <c r="AL51" s="52">
        <f t="shared" si="10"/>
        <v>-85836380.079999983</v>
      </c>
      <c r="AM51" s="52">
        <f t="shared" si="11"/>
        <v>65.52881054326933</v>
      </c>
      <c r="AN51" s="12">
        <f t="shared" si="12"/>
        <v>-21493037.74000001</v>
      </c>
      <c r="AO51" s="52">
        <v>0</v>
      </c>
      <c r="AP51" s="12">
        <f t="shared" si="59"/>
        <v>-321326016</v>
      </c>
      <c r="AQ51" s="12">
        <f t="shared" si="60"/>
        <v>33.678660467354092</v>
      </c>
      <c r="AR51" s="40" t="e">
        <f>#REF!</f>
        <v>#REF!</v>
      </c>
    </row>
    <row r="52" spans="1:44" s="10" customFormat="1" ht="27" customHeight="1" x14ac:dyDescent="0.3">
      <c r="A52" s="9"/>
      <c r="B52" s="100" t="s">
        <v>3</v>
      </c>
      <c r="C52" s="100"/>
      <c r="D52" s="100"/>
      <c r="E52" s="100"/>
      <c r="F52" s="100"/>
      <c r="G52" s="100"/>
      <c r="H52" s="100"/>
      <c r="I52" s="100"/>
      <c r="J52" s="12">
        <v>11684333.98</v>
      </c>
      <c r="K52" s="12">
        <f>J52</f>
        <v>11684333.98</v>
      </c>
      <c r="L52" s="33">
        <v>529400.43000000005</v>
      </c>
      <c r="M52" s="33">
        <f>L52</f>
        <v>529400.43000000005</v>
      </c>
      <c r="N52" s="12">
        <v>36412363.109999999</v>
      </c>
      <c r="O52" s="12">
        <v>31536396.41</v>
      </c>
      <c r="P52" s="12">
        <f t="shared" si="83"/>
        <v>31536396.41</v>
      </c>
      <c r="Q52" s="12">
        <v>31536396.41</v>
      </c>
      <c r="R52" s="12">
        <f t="shared" si="84"/>
        <v>31536396.41</v>
      </c>
      <c r="S52" s="12">
        <v>59992663.990000002</v>
      </c>
      <c r="T52" s="12">
        <v>59251614.960000001</v>
      </c>
      <c r="U52" s="12">
        <f t="shared" si="85"/>
        <v>59251614.960000001</v>
      </c>
      <c r="V52" s="12">
        <v>245584.55</v>
      </c>
      <c r="W52" s="12">
        <f t="shared" si="85"/>
        <v>245584.55</v>
      </c>
      <c r="X52" s="12">
        <v>1779977.81</v>
      </c>
      <c r="Y52" s="12">
        <v>2779977.81</v>
      </c>
      <c r="Z52" s="12">
        <v>280758.06</v>
      </c>
      <c r="AA52" s="12">
        <v>140379.03</v>
      </c>
      <c r="AB52" s="12">
        <v>0</v>
      </c>
      <c r="AC52" s="12">
        <v>280758.06</v>
      </c>
      <c r="AD52" s="12">
        <f t="shared" si="8"/>
        <v>280758.06</v>
      </c>
      <c r="AE52" s="12">
        <f t="shared" si="9"/>
        <v>-140379.03</v>
      </c>
      <c r="AF52" s="52">
        <f t="shared" si="57"/>
        <v>-1499219.75</v>
      </c>
      <c r="AG52" s="52">
        <f t="shared" si="65"/>
        <v>15.773121351439768</v>
      </c>
      <c r="AH52" s="12">
        <f t="shared" si="58"/>
        <v>-2499219.75</v>
      </c>
      <c r="AI52" s="52">
        <f t="shared" si="13"/>
        <v>10.099291404056208</v>
      </c>
      <c r="AJ52" s="12" t="e">
        <f>AD52-#REF!</f>
        <v>#REF!</v>
      </c>
      <c r="AK52" s="12" t="e">
        <f>IF(#REF!=0,0,AD52/#REF!*100)</f>
        <v>#REF!</v>
      </c>
      <c r="AL52" s="52">
        <f t="shared" si="10"/>
        <v>0</v>
      </c>
      <c r="AM52" s="52">
        <f t="shared" si="11"/>
        <v>100</v>
      </c>
      <c r="AN52" s="12">
        <f t="shared" si="12"/>
        <v>35173.510000000009</v>
      </c>
      <c r="AO52" s="52">
        <v>0</v>
      </c>
      <c r="AP52" s="12">
        <f t="shared" si="59"/>
        <v>-248642.37000000005</v>
      </c>
      <c r="AQ52" s="12">
        <f t="shared" si="60"/>
        <v>53.033213441099768</v>
      </c>
      <c r="AR52" s="40" t="e">
        <f>#REF!</f>
        <v>#REF!</v>
      </c>
    </row>
    <row r="53" spans="1:44" s="10" customFormat="1" ht="39" customHeight="1" x14ac:dyDescent="0.3">
      <c r="A53" s="9"/>
      <c r="B53" s="100" t="s">
        <v>2</v>
      </c>
      <c r="C53" s="100"/>
      <c r="D53" s="100"/>
      <c r="E53" s="100"/>
      <c r="F53" s="100"/>
      <c r="G53" s="100"/>
      <c r="H53" s="100"/>
      <c r="I53" s="100"/>
      <c r="J53" s="12">
        <v>6004588.7999999998</v>
      </c>
      <c r="K53" s="15">
        <f>J53-5677833.4</f>
        <v>326755.39999999944</v>
      </c>
      <c r="L53" s="31">
        <v>3749513.5</v>
      </c>
      <c r="M53" s="31">
        <v>15145.1</v>
      </c>
      <c r="N53" s="12">
        <v>78874.100000000006</v>
      </c>
      <c r="O53" s="12">
        <v>18244.099999999999</v>
      </c>
      <c r="P53" s="12">
        <f t="shared" si="83"/>
        <v>18244.099999999999</v>
      </c>
      <c r="Q53" s="12">
        <v>18244.099999999999</v>
      </c>
      <c r="R53" s="12">
        <f t="shared" si="84"/>
        <v>18244.099999999999</v>
      </c>
      <c r="S53" s="12">
        <v>76908.460000000006</v>
      </c>
      <c r="T53" s="12">
        <v>76908.460000000006</v>
      </c>
      <c r="U53" s="12">
        <f t="shared" si="85"/>
        <v>76908.460000000006</v>
      </c>
      <c r="V53" s="12">
        <v>1376.38</v>
      </c>
      <c r="W53" s="12">
        <f t="shared" si="85"/>
        <v>1376.38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2043.4</v>
      </c>
      <c r="AD53" s="12">
        <f t="shared" si="8"/>
        <v>2043.4</v>
      </c>
      <c r="AE53" s="12">
        <f t="shared" si="9"/>
        <v>0</v>
      </c>
      <c r="AF53" s="52">
        <f t="shared" si="57"/>
        <v>2043.4</v>
      </c>
      <c r="AG53" s="52">
        <v>0</v>
      </c>
      <c r="AH53" s="12">
        <f t="shared" si="58"/>
        <v>2043.4</v>
      </c>
      <c r="AI53" s="52">
        <v>0</v>
      </c>
      <c r="AJ53" s="12" t="e">
        <f>AD53-#REF!</f>
        <v>#REF!</v>
      </c>
      <c r="AK53" s="12" t="e">
        <f>IF(#REF!=0,0,AD53/#REF!*100)</f>
        <v>#REF!</v>
      </c>
      <c r="AL53" s="52">
        <f t="shared" si="10"/>
        <v>2043.4</v>
      </c>
      <c r="AM53" s="52">
        <v>0</v>
      </c>
      <c r="AN53" s="12">
        <f t="shared" si="12"/>
        <v>667.02</v>
      </c>
      <c r="AO53" s="52">
        <v>0</v>
      </c>
      <c r="AP53" s="12">
        <f t="shared" si="59"/>
        <v>-13101.7</v>
      </c>
      <c r="AQ53" s="12">
        <f t="shared" si="60"/>
        <v>13.492152577401272</v>
      </c>
      <c r="AR53" s="40">
        <f>AD53</f>
        <v>2043.4</v>
      </c>
    </row>
    <row r="54" spans="1:44" s="10" customFormat="1" ht="171.75" customHeight="1" x14ac:dyDescent="0.3">
      <c r="A54" s="9"/>
      <c r="B54" s="67"/>
      <c r="C54" s="67"/>
      <c r="D54" s="67"/>
      <c r="E54" s="67"/>
      <c r="F54" s="67"/>
      <c r="G54" s="67"/>
      <c r="H54" s="67"/>
      <c r="I54" s="70" t="s">
        <v>70</v>
      </c>
      <c r="J54" s="62"/>
      <c r="K54" s="63"/>
      <c r="L54" s="31"/>
      <c r="M54" s="31"/>
      <c r="N54" s="12"/>
      <c r="O54" s="12"/>
      <c r="P54" s="12">
        <v>0</v>
      </c>
      <c r="Q54" s="12"/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f t="shared" si="8"/>
        <v>0</v>
      </c>
      <c r="AE54" s="12">
        <f>AB54-AA54</f>
        <v>0</v>
      </c>
      <c r="AF54" s="52">
        <f t="shared" si="57"/>
        <v>0</v>
      </c>
      <c r="AG54" s="52">
        <v>0</v>
      </c>
      <c r="AH54" s="12">
        <f t="shared" si="58"/>
        <v>0</v>
      </c>
      <c r="AI54" s="52">
        <v>0</v>
      </c>
      <c r="AJ54" s="12" t="e">
        <f>AD54-#REF!</f>
        <v>#REF!</v>
      </c>
      <c r="AK54" s="12" t="e">
        <f>IF(#REF!=0,0,AD54/#REF!*100)</f>
        <v>#REF!</v>
      </c>
      <c r="AL54" s="52">
        <f t="shared" si="10"/>
        <v>0</v>
      </c>
      <c r="AM54" s="52">
        <v>0</v>
      </c>
      <c r="AN54" s="12">
        <f>AD54-W54</f>
        <v>0</v>
      </c>
      <c r="AO54" s="52">
        <v>0</v>
      </c>
      <c r="AP54" s="12"/>
      <c r="AQ54" s="12"/>
      <c r="AR54" s="40"/>
    </row>
    <row r="55" spans="1:44" s="10" customFormat="1" ht="120" customHeight="1" x14ac:dyDescent="0.3">
      <c r="A55" s="9"/>
      <c r="B55" s="67"/>
      <c r="C55" s="67"/>
      <c r="D55" s="67"/>
      <c r="E55" s="67"/>
      <c r="F55" s="67"/>
      <c r="G55" s="67"/>
      <c r="H55" s="67"/>
      <c r="I55" s="67" t="s">
        <v>43</v>
      </c>
      <c r="J55" s="12">
        <v>0</v>
      </c>
      <c r="K55" s="12">
        <f>J55</f>
        <v>0</v>
      </c>
      <c r="L55" s="33">
        <v>0</v>
      </c>
      <c r="M55" s="33">
        <f>L55</f>
        <v>0</v>
      </c>
      <c r="N55" s="12">
        <v>0</v>
      </c>
      <c r="O55" s="12">
        <v>280404</v>
      </c>
      <c r="P55" s="12">
        <f t="shared" si="83"/>
        <v>280404</v>
      </c>
      <c r="Q55" s="12">
        <v>280404</v>
      </c>
      <c r="R55" s="12">
        <f t="shared" si="84"/>
        <v>280404</v>
      </c>
      <c r="S55" s="12">
        <v>0</v>
      </c>
      <c r="T55" s="12">
        <v>0</v>
      </c>
      <c r="U55" s="12">
        <f t="shared" si="85"/>
        <v>0</v>
      </c>
      <c r="V55" s="12">
        <v>235045.3</v>
      </c>
      <c r="W55" s="12">
        <f t="shared" si="85"/>
        <v>235045.3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27674.329999999998</v>
      </c>
      <c r="AD55" s="12">
        <f t="shared" si="8"/>
        <v>27674.329999999998</v>
      </c>
      <c r="AE55" s="12">
        <f t="shared" si="9"/>
        <v>0</v>
      </c>
      <c r="AF55" s="52">
        <f t="shared" si="57"/>
        <v>27674.329999999998</v>
      </c>
      <c r="AG55" s="52">
        <v>0</v>
      </c>
      <c r="AH55" s="12">
        <f t="shared" si="58"/>
        <v>27674.329999999998</v>
      </c>
      <c r="AI55" s="52">
        <v>0</v>
      </c>
      <c r="AJ55" s="12" t="e">
        <f>AD55-#REF!</f>
        <v>#REF!</v>
      </c>
      <c r="AK55" s="12" t="e">
        <f>IF(#REF!=0,0,AD55/#REF!*100)</f>
        <v>#REF!</v>
      </c>
      <c r="AL55" s="52">
        <f t="shared" si="10"/>
        <v>27674.329999999998</v>
      </c>
      <c r="AM55" s="52">
        <v>0</v>
      </c>
      <c r="AN55" s="12">
        <f t="shared" si="12"/>
        <v>-207370.97</v>
      </c>
      <c r="AO55" s="52">
        <v>0</v>
      </c>
      <c r="AP55" s="12">
        <f>AD55-M55</f>
        <v>27674.329999999998</v>
      </c>
      <c r="AQ55" s="12">
        <f>IF(M55=0,0,AD55/M55*100)</f>
        <v>0</v>
      </c>
      <c r="AR55" s="40">
        <f>AD55</f>
        <v>27674.329999999998</v>
      </c>
    </row>
    <row r="56" spans="1:44" s="10" customFormat="1" ht="78.75" customHeight="1" x14ac:dyDescent="0.3">
      <c r="A56" s="9"/>
      <c r="B56" s="100" t="s">
        <v>0</v>
      </c>
      <c r="C56" s="100"/>
      <c r="D56" s="100"/>
      <c r="E56" s="100"/>
      <c r="F56" s="100"/>
      <c r="G56" s="100"/>
      <c r="H56" s="100"/>
      <c r="I56" s="100"/>
      <c r="J56" s="12">
        <v>-5408951.3099999996</v>
      </c>
      <c r="K56" s="12">
        <f>J56</f>
        <v>-5408951.3099999996</v>
      </c>
      <c r="L56" s="33">
        <v>-3954742.46</v>
      </c>
      <c r="M56" s="33">
        <f>L56</f>
        <v>-3954742.46</v>
      </c>
      <c r="N56" s="12">
        <v>-5497492.0700000003</v>
      </c>
      <c r="O56" s="12">
        <v>-5497492.0700000003</v>
      </c>
      <c r="P56" s="12">
        <f t="shared" si="83"/>
        <v>-5497492.0700000003</v>
      </c>
      <c r="Q56" s="12">
        <v>-5497492.0700000003</v>
      </c>
      <c r="R56" s="12">
        <f t="shared" si="84"/>
        <v>-5497492.0700000003</v>
      </c>
      <c r="S56" s="12">
        <v>-23771663.220000003</v>
      </c>
      <c r="T56" s="12">
        <v>-23771663.219999999</v>
      </c>
      <c r="U56" s="12">
        <f t="shared" si="85"/>
        <v>-23771663.219999999</v>
      </c>
      <c r="V56" s="12">
        <v>-87330293.450000003</v>
      </c>
      <c r="W56" s="12">
        <f t="shared" si="85"/>
        <v>-87330293.450000003</v>
      </c>
      <c r="X56" s="12">
        <v>0</v>
      </c>
      <c r="Y56" s="12">
        <v>0</v>
      </c>
      <c r="Z56" s="12">
        <v>0</v>
      </c>
      <c r="AA56" s="12">
        <v>0</v>
      </c>
      <c r="AB56" s="12">
        <v>-300</v>
      </c>
      <c r="AC56" s="12">
        <v>-1097464.69</v>
      </c>
      <c r="AD56" s="12">
        <f t="shared" si="8"/>
        <v>-1097764.69</v>
      </c>
      <c r="AE56" s="12">
        <f t="shared" si="9"/>
        <v>-300</v>
      </c>
      <c r="AF56" s="52">
        <f t="shared" si="57"/>
        <v>-1097764.69</v>
      </c>
      <c r="AG56" s="52">
        <v>0</v>
      </c>
      <c r="AH56" s="12">
        <f t="shared" si="58"/>
        <v>-1097764.69</v>
      </c>
      <c r="AI56" s="52">
        <v>0</v>
      </c>
      <c r="AJ56" s="12" t="e">
        <f>AD56-#REF!</f>
        <v>#REF!</v>
      </c>
      <c r="AK56" s="12" t="e">
        <f>IF(#REF!=0,0,AD56/#REF!*100)</f>
        <v>#REF!</v>
      </c>
      <c r="AL56" s="52">
        <f t="shared" si="10"/>
        <v>-1097764.69</v>
      </c>
      <c r="AM56" s="52">
        <v>0</v>
      </c>
      <c r="AN56" s="12">
        <f t="shared" si="12"/>
        <v>86232528.760000005</v>
      </c>
      <c r="AO56" s="52">
        <v>0</v>
      </c>
      <c r="AP56" s="12">
        <f>AD56-M56</f>
        <v>2856977.77</v>
      </c>
      <c r="AQ56" s="12">
        <f>IF(M56=0,0,AD56/M56*100)</f>
        <v>27.758184031027898</v>
      </c>
      <c r="AR56" s="40">
        <f>AD56</f>
        <v>-1097764.69</v>
      </c>
    </row>
    <row r="57" spans="1:44" s="5" customFormat="1" ht="18.75" x14ac:dyDescent="0.3">
      <c r="A57" s="4"/>
      <c r="B57" s="8"/>
      <c r="C57" s="8"/>
      <c r="D57" s="8"/>
      <c r="E57" s="8"/>
      <c r="F57" s="8"/>
      <c r="G57" s="8"/>
      <c r="H57" s="8"/>
      <c r="I57" s="8"/>
      <c r="J57" s="13">
        <f t="shared" ref="J57:AB57" si="86">J48+J7</f>
        <v>2092393430.8699999</v>
      </c>
      <c r="K57" s="13">
        <f t="shared" si="86"/>
        <v>2072707717.7351346</v>
      </c>
      <c r="L57" s="32">
        <f t="shared" si="86"/>
        <v>881017080.54999995</v>
      </c>
      <c r="M57" s="30">
        <f t="shared" si="86"/>
        <v>871606221.6655432</v>
      </c>
      <c r="N57" s="12">
        <f t="shared" si="86"/>
        <v>2309803775.2699995</v>
      </c>
      <c r="O57" s="12">
        <f t="shared" si="86"/>
        <v>2328450949.6999998</v>
      </c>
      <c r="P57" s="12">
        <f t="shared" si="86"/>
        <v>2327457942.815587</v>
      </c>
      <c r="Q57" s="12">
        <f t="shared" si="86"/>
        <v>2328450949.6999998</v>
      </c>
      <c r="R57" s="12">
        <f t="shared" si="86"/>
        <v>2324740009.4155874</v>
      </c>
      <c r="S57" s="12">
        <f>S48+S7</f>
        <v>2486687790.5499997</v>
      </c>
      <c r="T57" s="12">
        <f>T48+T7</f>
        <v>2448866192.1799998</v>
      </c>
      <c r="U57" s="12">
        <f>U48+U7</f>
        <v>2457887450.5146742</v>
      </c>
      <c r="V57" s="12">
        <f>V48+V7</f>
        <v>208894448.96000004</v>
      </c>
      <c r="W57" s="12">
        <f>W48+W7</f>
        <v>209893692.24853197</v>
      </c>
      <c r="X57" s="12">
        <f t="shared" ref="X57" si="87">X48+X7</f>
        <v>2141993785.2600002</v>
      </c>
      <c r="Y57" s="12">
        <f t="shared" si="86"/>
        <v>2264059612.7199998</v>
      </c>
      <c r="Z57" s="12">
        <f t="shared" si="86"/>
        <v>391003058.94</v>
      </c>
      <c r="AA57" s="12">
        <f t="shared" ref="AA57" si="88">AA48+AA7</f>
        <v>66130660.25</v>
      </c>
      <c r="AB57" s="12">
        <f t="shared" si="86"/>
        <v>44741577.530000001</v>
      </c>
      <c r="AC57" s="12">
        <f>AC48+AC7</f>
        <v>235554804.04000002</v>
      </c>
      <c r="AD57" s="12">
        <f>AD48+AD7</f>
        <v>280296381.56999999</v>
      </c>
      <c r="AE57" s="12">
        <f t="shared" si="9"/>
        <v>-21389082.719999999</v>
      </c>
      <c r="AF57" s="12">
        <f t="shared" si="57"/>
        <v>-1861697403.6900003</v>
      </c>
      <c r="AG57" s="12">
        <f>AD57/X57*100</f>
        <v>13.085770066133826</v>
      </c>
      <c r="AH57" s="12">
        <f t="shared" si="58"/>
        <v>-1983763231.1499999</v>
      </c>
      <c r="AI57" s="12">
        <f t="shared" si="13"/>
        <v>12.380256243927123</v>
      </c>
      <c r="AJ57" s="12" t="e">
        <f>AD57-#REF!</f>
        <v>#REF!</v>
      </c>
      <c r="AK57" s="12" t="e">
        <f>IF(#REF!=0,0,AD57/#REF!*100)</f>
        <v>#REF!</v>
      </c>
      <c r="AL57" s="12">
        <f t="shared" si="10"/>
        <v>-110706677.37</v>
      </c>
      <c r="AM57" s="12">
        <f t="shared" si="11"/>
        <v>71.686493279586301</v>
      </c>
      <c r="AN57" s="12">
        <f t="shared" si="12"/>
        <v>70402689.321468025</v>
      </c>
      <c r="AO57" s="12">
        <f t="shared" si="14"/>
        <v>133.54207006759651</v>
      </c>
      <c r="AP57" s="12">
        <f>AD57-M57</f>
        <v>-591309840.09554315</v>
      </c>
      <c r="AQ57" s="12">
        <f>IF(M57=0,0,AD57/M57*100)</f>
        <v>32.158602658249109</v>
      </c>
      <c r="AR57" s="37" t="e">
        <f>AR48+AR7</f>
        <v>#REF!</v>
      </c>
    </row>
    <row r="58" spans="1:44" s="5" customFormat="1" ht="18.75" x14ac:dyDescent="0.3">
      <c r="A58" s="4"/>
      <c r="B58" s="4"/>
      <c r="C58" s="4"/>
      <c r="D58" s="4"/>
      <c r="E58" s="4"/>
      <c r="F58" s="4"/>
      <c r="G58" s="4"/>
      <c r="H58" s="4"/>
      <c r="I58" s="4"/>
      <c r="J58" s="28"/>
      <c r="K58" s="28"/>
      <c r="L58" s="4"/>
      <c r="M58" s="4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24"/>
      <c r="AL58" s="25"/>
      <c r="AM58" s="25"/>
      <c r="AN58" s="28"/>
      <c r="AO58" s="25"/>
      <c r="AP58" s="25"/>
      <c r="AQ58" s="34"/>
    </row>
    <row r="59" spans="1:44" s="5" customFormat="1" ht="18.75" x14ac:dyDescent="0.3">
      <c r="I59" s="5" t="s">
        <v>53</v>
      </c>
      <c r="J59" s="5" t="s">
        <v>42</v>
      </c>
      <c r="N59" s="5" t="s">
        <v>42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  <c r="AB59" s="74"/>
      <c r="AC59" s="78"/>
      <c r="AD59" s="74"/>
      <c r="AH59" s="74"/>
      <c r="AI59" s="104"/>
      <c r="AJ59" s="104"/>
      <c r="AK59" s="104"/>
      <c r="AL59" s="104"/>
      <c r="AM59" s="104"/>
      <c r="AN59" s="104"/>
    </row>
    <row r="60" spans="1:44" s="5" customFormat="1" ht="18.75" x14ac:dyDescent="0.3">
      <c r="I60" s="5" t="s">
        <v>46</v>
      </c>
      <c r="O60" s="5" t="s">
        <v>42</v>
      </c>
      <c r="Q60" s="18"/>
      <c r="Y60" s="5" t="s">
        <v>42</v>
      </c>
    </row>
    <row r="61" spans="1:44" s="5" customFormat="1" ht="18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73"/>
      <c r="AE61" s="4"/>
      <c r="AF61" s="4"/>
      <c r="AG61" s="4"/>
      <c r="AH61" s="4"/>
      <c r="AI61" s="4"/>
      <c r="AJ61" s="4"/>
      <c r="AK61" s="25"/>
      <c r="AL61" s="25"/>
      <c r="AM61" s="25"/>
      <c r="AN61" s="4"/>
      <c r="AO61" s="4"/>
      <c r="AP61" s="4"/>
    </row>
    <row r="62" spans="1:44" s="5" customFormat="1" ht="18.75" hidden="1" x14ac:dyDescent="0.3">
      <c r="I62" s="5" t="s">
        <v>53</v>
      </c>
      <c r="J62" s="5" t="s">
        <v>42</v>
      </c>
      <c r="N62" s="5" t="s">
        <v>42</v>
      </c>
      <c r="O62" s="5" t="s">
        <v>42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44" s="5" customFormat="1" ht="18.75" hidden="1" x14ac:dyDescent="0.3">
      <c r="I63" s="5" t="s">
        <v>46</v>
      </c>
      <c r="R63" s="5" t="s">
        <v>42</v>
      </c>
    </row>
    <row r="64" spans="1:44" s="5" customFormat="1" ht="18.75" x14ac:dyDescent="0.3">
      <c r="Q64" s="18"/>
      <c r="V64" s="18"/>
    </row>
    <row r="65" spans="11:28" x14ac:dyDescent="0.2">
      <c r="Q65" s="16"/>
      <c r="AB65" s="16"/>
    </row>
    <row r="66" spans="11:28" x14ac:dyDescent="0.2">
      <c r="K66" s="16"/>
      <c r="P66" s="16"/>
      <c r="Q66" s="16"/>
    </row>
    <row r="67" spans="11:28" x14ac:dyDescent="0.2">
      <c r="Q67" s="16"/>
    </row>
    <row r="70" spans="11:28" x14ac:dyDescent="0.2">
      <c r="Q70" s="16"/>
    </row>
  </sheetData>
  <customSheetViews>
    <customSheetView guid="{EFA3296C-EA11-4228-A03B-6841E5AF5251}" scale="68" showPageBreaks="1" showGridLines="0" fitToPage="1" printArea="1" hiddenRows="1" hiddenColumns="1" view="pageBreakPreview">
      <pane xSplit="19" ySplit="5" topLeftCell="U6" activePane="bottomRight" state="frozen"/>
      <selection pane="bottomRight" activeCell="AA13" sqref="AA13"/>
      <colBreaks count="1" manualBreakCount="1">
        <brk id="24" max="59" man="1"/>
      </colBreaks>
      <pageMargins left="0.39370078740157483" right="0.39370078740157483" top="0.78740157480314965" bottom="0.39370078740157483" header="0.39370078740157483" footer="0.39370078740157483"/>
      <pageSetup paperSize="9" scale="70" fitToWidth="2" fitToHeight="5" orientation="landscape" r:id="rId1"/>
      <headerFooter alignWithMargins="0">
        <oddHeader>&amp;CСтраница &amp;P из &amp;N</oddHeader>
      </headerFooter>
    </customSheetView>
    <customSheetView guid="{117A7AA9-056F-4018-98AD-EAECFC43F1B3}" scale="75" showPageBreaks="1" showGridLines="0" fitToPage="1" printArea="1" showAutoFilter="1" hiddenRows="1" hiddenColumns="1" view="pageBreakPreview" topLeftCell="I1">
      <pane xSplit="11" ySplit="6" topLeftCell="Y52" activePane="bottomRight" state="frozen"/>
      <selection pane="bottomRight" activeCell="AM5" sqref="AM5"/>
      <rowBreaks count="1" manualBreakCount="1">
        <brk id="39" max="35" man="1"/>
      </rowBreaks>
      <pageMargins left="0.39370078740157483" right="0.39370078740157483" top="0.78740157480314965" bottom="0.39370078740157483" header="0.39370078740157483" footer="0.39370078740157483"/>
      <pageSetup paperSize="9" scale="45" fitToHeight="0" orientation="landscape" r:id="rId2"/>
      <headerFooter alignWithMargins="0">
        <oddHeader>&amp;CСтраница &amp;P из &amp;N</oddHeader>
      </headerFooter>
      <autoFilter ref="A6:AS57"/>
    </customSheetView>
    <customSheetView guid="{7DC50C37-F81E-464D-BE66-31375C660B0F}" scale="68" showPageBreaks="1" showGridLines="0" fitToPage="1" printArea="1" hiddenRows="1" hiddenColumns="1" view="pageBreakPreview">
      <pane xSplit="11" ySplit="5" topLeftCell="T41" activePane="bottomRight" state="frozen"/>
      <selection pane="bottomRight" activeCell="Y53" sqref="Y53"/>
      <colBreaks count="1" manualBreakCount="1">
        <brk id="25" max="66" man="1"/>
      </colBreaks>
      <pageMargins left="0.39370078740157483" right="0.39370078740157483" top="0.78740157480314965" bottom="0.39370078740157483" header="0.39370078740157483" footer="0.39370078740157483"/>
      <pageSetup paperSize="9" scale="59" fitToWidth="2" fitToHeight="5" orientation="landscape" r:id="rId3"/>
      <headerFooter alignWithMargins="0">
        <oddHeader>&amp;CСтраница &amp;P из &amp;N</oddHeader>
      </headerFooter>
    </customSheetView>
    <customSheetView guid="{4CBCD9D8-B3F5-4722-8CE7-38B89561B806}" scale="68" showGridLines="0" fitToPage="1" hiddenRows="1" hiddenColumns="1">
      <pane xSplit="11" ySplit="5" topLeftCell="P26" activePane="bottomRight" state="frozen"/>
      <selection pane="bottomRight" activeCell="Q34" sqref="Q34"/>
      <colBreaks count="1" manualBreakCount="1">
        <brk id="24" max="66" man="1"/>
      </colBreaks>
      <pageMargins left="0.39370078740157483" right="0.39370078740157483" top="0.78740157480314965" bottom="0.39370078740157483" header="0.39370078740157483" footer="0.39370078740157483"/>
      <pageSetup paperSize="9" scale="62" fitToWidth="2" fitToHeight="5" orientation="landscape" r:id="rId4"/>
      <headerFooter alignWithMargins="0">
        <oddHeader>&amp;CСтраница &amp;P из &amp;N</oddHeader>
      </headerFooter>
    </customSheetView>
  </customSheetViews>
  <mergeCells count="57">
    <mergeCell ref="B56:I56"/>
    <mergeCell ref="B48:I48"/>
    <mergeCell ref="B49:I49"/>
    <mergeCell ref="B50:I50"/>
    <mergeCell ref="B51:I51"/>
    <mergeCell ref="B52:I52"/>
    <mergeCell ref="B53:I53"/>
    <mergeCell ref="AI59:AN59"/>
    <mergeCell ref="B15:I15"/>
    <mergeCell ref="B45:I45"/>
    <mergeCell ref="B19:I19"/>
    <mergeCell ref="B21:I21"/>
    <mergeCell ref="B27:I27"/>
    <mergeCell ref="B31:I31"/>
    <mergeCell ref="B32:I32"/>
    <mergeCell ref="B33:I33"/>
    <mergeCell ref="B39:I39"/>
    <mergeCell ref="B40:I40"/>
    <mergeCell ref="B41:I41"/>
    <mergeCell ref="B42:I42"/>
    <mergeCell ref="B43:I43"/>
    <mergeCell ref="B16:I16"/>
    <mergeCell ref="B20:M20"/>
    <mergeCell ref="B14:I14"/>
    <mergeCell ref="AA4:AB4"/>
    <mergeCell ref="AD4:AD5"/>
    <mergeCell ref="AJ4:AK4"/>
    <mergeCell ref="AL4:AM4"/>
    <mergeCell ref="B10:I10"/>
    <mergeCell ref="B12:I12"/>
    <mergeCell ref="B13:I13"/>
    <mergeCell ref="B9:I9"/>
    <mergeCell ref="AC4:AC5"/>
    <mergeCell ref="V4:V5"/>
    <mergeCell ref="W4:W5"/>
    <mergeCell ref="U4:U5"/>
    <mergeCell ref="AP4:AQ4"/>
    <mergeCell ref="B7:I7"/>
    <mergeCell ref="AE4:AE5"/>
    <mergeCell ref="AH4:AI4"/>
    <mergeCell ref="AN4:AO4"/>
    <mergeCell ref="Y4:Z5"/>
    <mergeCell ref="I2:AN2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AF4:AG4"/>
    <mergeCell ref="X4:X5"/>
    <mergeCell ref="S4:S5"/>
    <mergeCell ref="T4:T5"/>
  </mergeCells>
  <pageMargins left="0.39370078740157483" right="0.39370078740157483" top="0.78740157480314965" bottom="0.39370078740157483" header="0.39370078740157483" footer="0.39370078740157483"/>
  <pageSetup paperSize="9" scale="59" fitToWidth="2" fitToHeight="5" orientation="landscape" r:id="rId5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доходов </vt:lpstr>
      <vt:lpstr>'План доходов '!Заголовки_для_печати</vt:lpstr>
      <vt:lpstr>'План доходов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BLANIP1</cp:lastModifiedBy>
  <cp:lastPrinted>2023-02-17T11:47:32Z</cp:lastPrinted>
  <dcterms:created xsi:type="dcterms:W3CDTF">2018-12-30T09:36:16Z</dcterms:created>
  <dcterms:modified xsi:type="dcterms:W3CDTF">2023-02-17T11:48:09Z</dcterms:modified>
</cp:coreProperties>
</file>